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wp-my.sharepoint.com/personal/kc_cwp_org/Documents/Documents/041924/NWRN/Final Final/"/>
    </mc:Choice>
  </mc:AlternateContent>
  <xr:revisionPtr revIDLastSave="1" documentId="8_{435F8C99-9037-495B-877C-086EAEA0AC46}" xr6:coauthVersionLast="47" xr6:coauthVersionMax="47" xr10:uidLastSave="{A22C8CB0-BD8F-4B84-9728-49839A2DC5DF}"/>
  <workbookProtection lockStructure="1"/>
  <bookViews>
    <workbookView xWindow="-110" yWindow="-110" windowWidth="19420" windowHeight="10300" activeTab="3" xr2:uid="{F0600A54-37E4-43F1-BEE3-BCFB9BCC11AB}"/>
  </bookViews>
  <sheets>
    <sheet name="1. Read Me" sheetId="12" r:id="rId1"/>
    <sheet name="2. Enter State and Local Info" sheetId="1" r:id="rId2"/>
    <sheet name="3. Answer Assessment Questions" sheetId="4" r:id="rId3"/>
    <sheet name="4. Get Recommendations" sheetId="13" r:id="rId4"/>
    <sheet name="Score_Lookups" sheetId="9" state="hidden" r:id="rId5"/>
    <sheet name="Recommendations Lookup" sheetId="10" state="hidden" r:id="rId6"/>
    <sheet name="Filter Recommendations" sheetId="11" state="hidden" r:id="rId7"/>
    <sheet name="state_vulnerability_scores" sheetId="2" state="hidden" r:id="rId8"/>
  </sheets>
  <definedNames>
    <definedName name="_xlnm._FilterDatabase" localSheetId="2" hidden="1">'3. Answer Assessment Questions'!$N$4:$N$109</definedName>
    <definedName name="Drought_Impact">'2. Enter State and Local Info'!$C$17</definedName>
    <definedName name="Impact_Select">'4. Get Recommendations'!$B$16</definedName>
    <definedName name="Precip_Impact">'2. Enter State and Local Info'!$C$16</definedName>
    <definedName name="Q_1">#REF!</definedName>
    <definedName name="Rec_Category">'Filter Recommendations'!$D$4</definedName>
    <definedName name="Recommendation_Count">'Filter Recommendations'!$M$2</definedName>
    <definedName name="Recs_1">'Filter Recommendations'!$M$6:$M$10</definedName>
    <definedName name="Recs_2">'Filter Recommendations'!$M$12:$M$31</definedName>
    <definedName name="Recs_3">'Filter Recommendations'!$M$35:$M$46</definedName>
    <definedName name="Recs_4">'Filter Recommendations'!$M$49:$M$64</definedName>
    <definedName name="Recs_5">'Filter Recommendations'!$M$66:$M$76</definedName>
    <definedName name="Recs_6">'Filter Recommendations'!$M$78:$M$92</definedName>
    <definedName name="Sea_Level_Impact">'2. Enter State and Local Info'!$C$19</definedName>
    <definedName name="Section1">'Filter Recommendations'!$W$6:$W$7</definedName>
    <definedName name="Section2">'Filter Recommendations'!$W$12:$W$23</definedName>
    <definedName name="Section3">'Filter Recommendations'!$W$35:$W$39</definedName>
    <definedName name="Section4">'Filter Recommendations'!$W$49:$W$57</definedName>
    <definedName name="Section5">'Filter Recommendations'!$W$66:$W$70</definedName>
    <definedName name="Section6">'Filter Recommendations'!$W$78:$W$84</definedName>
    <definedName name="state_dropdown" localSheetId="5">State_Vulnerabilities[STATE]</definedName>
    <definedName name="state_dropdown">State_Vulnerabilities[STATE]</definedName>
    <definedName name="Temp_Impact">'2. Enter State and Local Info'!$C$18</definedName>
    <definedName name="YesNo">state_vulnerability_scores!$N$2:$N$3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0" l="1"/>
  <c r="M8" i="10"/>
  <c r="M9" i="10"/>
  <c r="M83" i="10"/>
  <c r="M84" i="10"/>
  <c r="M85" i="10"/>
  <c r="M13" i="10"/>
  <c r="M80" i="10"/>
  <c r="M81" i="10"/>
  <c r="M12" i="10"/>
  <c r="M14" i="10"/>
  <c r="M15" i="10"/>
  <c r="M10" i="10"/>
  <c r="M11" i="10"/>
  <c r="M5" i="10"/>
  <c r="M22" i="10"/>
  <c r="M16" i="10"/>
  <c r="M17" i="10"/>
  <c r="M20" i="10"/>
  <c r="M19" i="10"/>
  <c r="M21" i="10"/>
  <c r="M35" i="10"/>
  <c r="M45" i="10"/>
  <c r="M31" i="10"/>
  <c r="M32" i="10"/>
  <c r="M33" i="10"/>
  <c r="M34" i="10"/>
  <c r="M39" i="10"/>
  <c r="M60" i="10"/>
  <c r="M61" i="10"/>
  <c r="M44" i="10"/>
  <c r="M57" i="10"/>
  <c r="M59" i="10"/>
  <c r="M62" i="10"/>
  <c r="M70" i="10"/>
  <c r="D4" i="11"/>
  <c r="Q147" i="11" l="1"/>
  <c r="Q146" i="11"/>
  <c r="Q145" i="11"/>
  <c r="Q144" i="11"/>
  <c r="Q143" i="11"/>
  <c r="Q142" i="11"/>
  <c r="B54" i="10"/>
  <c r="D54" i="10" s="1"/>
  <c r="B24" i="10" l="1"/>
  <c r="D24" i="10" s="1"/>
  <c r="B23" i="10"/>
  <c r="D23" i="10" s="1"/>
  <c r="C19" i="1"/>
  <c r="C17" i="1"/>
  <c r="C16" i="1"/>
  <c r="C7" i="13" l="1"/>
  <c r="Q18" i="10"/>
  <c r="Q42" i="10"/>
  <c r="Q54" i="10"/>
  <c r="Q72" i="10"/>
  <c r="Q58" i="10"/>
  <c r="Q55" i="10"/>
  <c r="Q43" i="10"/>
  <c r="Q41" i="10"/>
  <c r="Q22" i="10"/>
  <c r="M87" i="10"/>
  <c r="M88" i="10"/>
  <c r="M53" i="10"/>
  <c r="M6" i="10"/>
  <c r="M73" i="10"/>
  <c r="M30" i="10"/>
  <c r="M23" i="10"/>
  <c r="M25" i="10"/>
  <c r="M26" i="10"/>
  <c r="M40" i="10"/>
  <c r="M79" i="10"/>
  <c r="M52" i="10"/>
  <c r="M28" i="10"/>
  <c r="M78" i="10"/>
  <c r="M65" i="10"/>
  <c r="M27" i="10"/>
  <c r="M66" i="10"/>
  <c r="M71" i="10"/>
  <c r="M46" i="10"/>
  <c r="M51" i="10"/>
  <c r="M29" i="10"/>
  <c r="M67" i="10"/>
  <c r="M63" i="10"/>
  <c r="M82" i="10"/>
  <c r="M50" i="10"/>
  <c r="M24" i="10"/>
  <c r="J72" i="10"/>
  <c r="J38" i="10"/>
  <c r="J22" i="10"/>
  <c r="J6" i="10"/>
  <c r="J65" i="10"/>
  <c r="J19" i="10"/>
  <c r="J75" i="10"/>
  <c r="J12" i="10"/>
  <c r="J57" i="10"/>
  <c r="J58" i="10"/>
  <c r="J55" i="10"/>
  <c r="J39" i="10"/>
  <c r="J71" i="10"/>
  <c r="J7" i="10"/>
  <c r="J37" i="10"/>
  <c r="J54" i="10"/>
  <c r="J17" i="10"/>
  <c r="J15" i="10"/>
  <c r="J59" i="10"/>
  <c r="J36" i="10"/>
  <c r="J26" i="10"/>
  <c r="J79" i="10"/>
  <c r="J68" i="10"/>
  <c r="J50" i="10"/>
  <c r="J43" i="10"/>
  <c r="J42" i="10"/>
  <c r="J41" i="10"/>
  <c r="J20" i="10"/>
  <c r="J69" i="10"/>
  <c r="J30" i="10"/>
  <c r="J49" i="10"/>
  <c r="C9" i="13"/>
  <c r="C6" i="13"/>
  <c r="B13" i="10"/>
  <c r="D13" i="10" s="1"/>
  <c r="G24" i="4"/>
  <c r="L24" i="4" l="1"/>
  <c r="I24" i="4"/>
  <c r="J24" i="4"/>
  <c r="K24" i="4"/>
  <c r="H24" i="4"/>
  <c r="B79" i="10"/>
  <c r="D79" i="10" s="1"/>
  <c r="B77" i="10"/>
  <c r="D77" i="10" s="1"/>
  <c r="B76" i="10"/>
  <c r="D76" i="10" s="1"/>
  <c r="B75" i="10"/>
  <c r="D75" i="10" s="1"/>
  <c r="B74" i="10"/>
  <c r="D74" i="10" s="1"/>
  <c r="B73" i="10"/>
  <c r="D73" i="10" s="1"/>
  <c r="B71" i="10"/>
  <c r="D71" i="10" s="1"/>
  <c r="B70" i="10"/>
  <c r="D70" i="10" s="1"/>
  <c r="B69" i="10"/>
  <c r="D69" i="10" s="1"/>
  <c r="B68" i="10"/>
  <c r="D68" i="10" s="1"/>
  <c r="B67" i="10"/>
  <c r="D67" i="10" s="1"/>
  <c r="B64" i="10"/>
  <c r="D64" i="10" s="1"/>
  <c r="B62" i="10"/>
  <c r="D62" i="10" s="1"/>
  <c r="B59" i="10"/>
  <c r="D59" i="10" s="1"/>
  <c r="B57" i="10"/>
  <c r="D57" i="10" s="1"/>
  <c r="B56" i="10"/>
  <c r="D56" i="10" s="1"/>
  <c r="B50" i="10"/>
  <c r="D50" i="10" s="1"/>
  <c r="B49" i="10"/>
  <c r="D49" i="10" s="1"/>
  <c r="B48" i="10"/>
  <c r="D48" i="10" s="1"/>
  <c r="B47" i="10"/>
  <c r="D47" i="10" s="1"/>
  <c r="B46" i="10"/>
  <c r="D46" i="10" s="1"/>
  <c r="B44" i="10"/>
  <c r="D44" i="10" s="1"/>
  <c r="B40" i="10"/>
  <c r="D40" i="10" s="1"/>
  <c r="B72" i="10"/>
  <c r="D72" i="10" s="1"/>
  <c r="B66" i="10"/>
  <c r="D66" i="10" s="1"/>
  <c r="B65" i="10"/>
  <c r="D65" i="10" s="1"/>
  <c r="B63" i="10"/>
  <c r="D63" i="10" s="1"/>
  <c r="B61" i="10"/>
  <c r="D61" i="10" s="1"/>
  <c r="B60" i="10"/>
  <c r="D60" i="10" s="1"/>
  <c r="B39" i="10"/>
  <c r="D39" i="10" s="1"/>
  <c r="B38" i="10"/>
  <c r="D38" i="10" s="1"/>
  <c r="B58" i="10"/>
  <c r="D58" i="10" s="1"/>
  <c r="B37" i="10"/>
  <c r="D37" i="10" s="1"/>
  <c r="B36" i="10"/>
  <c r="D36" i="10" s="1"/>
  <c r="B55" i="10"/>
  <c r="D55" i="10" s="1"/>
  <c r="B53" i="10"/>
  <c r="D53" i="10" s="1"/>
  <c r="B35" i="10"/>
  <c r="D35" i="10" s="1"/>
  <c r="B34" i="10"/>
  <c r="D34" i="10" s="1"/>
  <c r="B33" i="10"/>
  <c r="D33" i="10" s="1"/>
  <c r="B32" i="10"/>
  <c r="D32" i="10" s="1"/>
  <c r="B31" i="10"/>
  <c r="D31" i="10" s="1"/>
  <c r="B52" i="10"/>
  <c r="D52" i="10" s="1"/>
  <c r="B51" i="10"/>
  <c r="D51" i="10" s="1"/>
  <c r="B45" i="10"/>
  <c r="D45" i="10" s="1"/>
  <c r="B43" i="10"/>
  <c r="D43" i="10" s="1"/>
  <c r="B42" i="10"/>
  <c r="D42" i="10" s="1"/>
  <c r="B28" i="10"/>
  <c r="D28" i="10" s="1"/>
  <c r="B26" i="10"/>
  <c r="D26" i="10" s="1"/>
  <c r="B41" i="10"/>
  <c r="D41" i="10" s="1"/>
  <c r="B21" i="10"/>
  <c r="D21" i="10" s="1"/>
  <c r="B20" i="10"/>
  <c r="D20" i="10" s="1"/>
  <c r="B19" i="10"/>
  <c r="D19" i="10" s="1"/>
  <c r="B18" i="10"/>
  <c r="D18" i="10" s="1"/>
  <c r="B17" i="10"/>
  <c r="D17" i="10" s="1"/>
  <c r="B16" i="10"/>
  <c r="D16" i="10" s="1"/>
  <c r="B15" i="10"/>
  <c r="D15" i="10" s="1"/>
  <c r="B14" i="10"/>
  <c r="D14" i="10" s="1"/>
  <c r="B12" i="10"/>
  <c r="D12" i="10" s="1"/>
  <c r="B22" i="10"/>
  <c r="D22" i="10" s="1"/>
  <c r="B11" i="10"/>
  <c r="D11" i="10" s="1"/>
  <c r="B10" i="10"/>
  <c r="D10" i="10" s="1"/>
  <c r="B5" i="10"/>
  <c r="D5" i="10" s="1"/>
  <c r="B88" i="10"/>
  <c r="D88" i="10" s="1"/>
  <c r="B87" i="10"/>
  <c r="D87" i="10" s="1"/>
  <c r="B29" i="10"/>
  <c r="D29" i="10" s="1"/>
  <c r="B86" i="10"/>
  <c r="D86" i="10" s="1"/>
  <c r="B85" i="10"/>
  <c r="D85" i="10" s="1"/>
  <c r="B84" i="10"/>
  <c r="D84" i="10" s="1"/>
  <c r="B83" i="10"/>
  <c r="D83" i="10" s="1"/>
  <c r="B82" i="10"/>
  <c r="D82" i="10" s="1"/>
  <c r="B81" i="10"/>
  <c r="D81" i="10" s="1"/>
  <c r="B80" i="10"/>
  <c r="D80" i="10" s="1"/>
  <c r="B27" i="10"/>
  <c r="D27" i="10" s="1"/>
  <c r="B78" i="10"/>
  <c r="D78" i="10" s="1"/>
  <c r="B25" i="10"/>
  <c r="D25" i="10" s="1"/>
  <c r="B9" i="10"/>
  <c r="D9" i="10" s="1"/>
  <c r="B8" i="10"/>
  <c r="D8" i="10" s="1"/>
  <c r="B6" i="10"/>
  <c r="D6" i="10" s="1"/>
  <c r="B7" i="10"/>
  <c r="D7" i="10" s="1"/>
  <c r="B30" i="10"/>
  <c r="D30" i="10" s="1"/>
  <c r="B4" i="10"/>
  <c r="D4" i="10" s="1"/>
  <c r="G15"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3" i="4"/>
  <c r="G22" i="4"/>
  <c r="G21" i="4"/>
  <c r="G20" i="4"/>
  <c r="G19" i="4"/>
  <c r="G18" i="4"/>
  <c r="G17" i="4"/>
  <c r="G16" i="4"/>
  <c r="G14" i="4"/>
  <c r="G13" i="4"/>
  <c r="G12" i="4"/>
  <c r="G11" i="4"/>
  <c r="G10" i="4"/>
  <c r="G9" i="4"/>
  <c r="G8" i="4"/>
  <c r="G7" i="4"/>
  <c r="G6" i="4"/>
  <c r="B86" i="9"/>
  <c r="D86" i="9" s="1"/>
  <c r="B87" i="9"/>
  <c r="D87" i="9" s="1"/>
  <c r="B82" i="9"/>
  <c r="D82" i="9" s="1"/>
  <c r="B83" i="9"/>
  <c r="D83" i="9" s="1"/>
  <c r="B84" i="9"/>
  <c r="D84" i="9" s="1"/>
  <c r="B64" i="9"/>
  <c r="D64" i="9" s="1"/>
  <c r="I7" i="9"/>
  <c r="P8" i="10" l="1"/>
  <c r="P23" i="10"/>
  <c r="P61" i="10"/>
  <c r="P66" i="10"/>
  <c r="P13" i="10"/>
  <c r="B65" i="9"/>
  <c r="D65" i="9" s="1"/>
  <c r="B63" i="9"/>
  <c r="D63" i="9" s="1"/>
  <c r="B62" i="9"/>
  <c r="D62" i="9" s="1"/>
  <c r="B61" i="9"/>
  <c r="D61" i="9" s="1"/>
  <c r="B115" i="9"/>
  <c r="D115" i="9" s="1"/>
  <c r="B114" i="9"/>
  <c r="D114" i="9" s="1"/>
  <c r="B113" i="9"/>
  <c r="D113" i="9" s="1"/>
  <c r="B112" i="9"/>
  <c r="D112" i="9" s="1"/>
  <c r="B111" i="9"/>
  <c r="D111" i="9" s="1"/>
  <c r="B110" i="9"/>
  <c r="D110" i="9" s="1"/>
  <c r="B109" i="9"/>
  <c r="D109" i="9" s="1"/>
  <c r="B108" i="9"/>
  <c r="D108" i="9" s="1"/>
  <c r="B107" i="9"/>
  <c r="D107" i="9" s="1"/>
  <c r="B106" i="9"/>
  <c r="D106" i="9" s="1"/>
  <c r="B105" i="9"/>
  <c r="D105" i="9" s="1"/>
  <c r="B104" i="9"/>
  <c r="D104" i="9" s="1"/>
  <c r="B103" i="9"/>
  <c r="D103" i="9" s="1"/>
  <c r="B102" i="9"/>
  <c r="D102" i="9" s="1"/>
  <c r="B101" i="9"/>
  <c r="D101" i="9" s="1"/>
  <c r="B100" i="9"/>
  <c r="D100" i="9" s="1"/>
  <c r="B99" i="9"/>
  <c r="D99" i="9" s="1"/>
  <c r="B98" i="9"/>
  <c r="D98" i="9" s="1"/>
  <c r="B97" i="9"/>
  <c r="D97" i="9" s="1"/>
  <c r="B96" i="9"/>
  <c r="D96" i="9" s="1"/>
  <c r="B95" i="9"/>
  <c r="D95" i="9" s="1"/>
  <c r="B94" i="9"/>
  <c r="D94" i="9" s="1"/>
  <c r="B93" i="9"/>
  <c r="D93" i="9" s="1"/>
  <c r="B92" i="9"/>
  <c r="D92" i="9" s="1"/>
  <c r="B91" i="9"/>
  <c r="D91" i="9" s="1"/>
  <c r="B90" i="9"/>
  <c r="D90" i="9" s="1"/>
  <c r="B89" i="9"/>
  <c r="D89" i="9" s="1"/>
  <c r="B88" i="9"/>
  <c r="D88" i="9" s="1"/>
  <c r="B85" i="9"/>
  <c r="D85" i="9" s="1"/>
  <c r="B81" i="9"/>
  <c r="D81" i="9" s="1"/>
  <c r="B80" i="9"/>
  <c r="D80" i="9" s="1"/>
  <c r="B79" i="9"/>
  <c r="D79" i="9" s="1"/>
  <c r="B78" i="9"/>
  <c r="D78" i="9" s="1"/>
  <c r="B77" i="9"/>
  <c r="D77" i="9" s="1"/>
  <c r="B76" i="9"/>
  <c r="D76" i="9" s="1"/>
  <c r="B75" i="9"/>
  <c r="D75" i="9" s="1"/>
  <c r="B74" i="9"/>
  <c r="D74" i="9" s="1"/>
  <c r="B73" i="9"/>
  <c r="D73" i="9" s="1"/>
  <c r="B72" i="9"/>
  <c r="D72" i="9" s="1"/>
  <c r="B71" i="9"/>
  <c r="D71" i="9" s="1"/>
  <c r="B70" i="9"/>
  <c r="D70" i="9" s="1"/>
  <c r="B69" i="9"/>
  <c r="D69" i="9" s="1"/>
  <c r="B68" i="9"/>
  <c r="D68" i="9" s="1"/>
  <c r="B67" i="9"/>
  <c r="D67" i="9" s="1"/>
  <c r="B66" i="9"/>
  <c r="D66" i="9" s="1"/>
  <c r="B60" i="9"/>
  <c r="D60" i="9" s="1"/>
  <c r="B59" i="9"/>
  <c r="D59" i="9" s="1"/>
  <c r="B58" i="9"/>
  <c r="D58" i="9" s="1"/>
  <c r="B57" i="9"/>
  <c r="D57" i="9" s="1"/>
  <c r="B56" i="9"/>
  <c r="D56" i="9" s="1"/>
  <c r="B55" i="9"/>
  <c r="D55" i="9" s="1"/>
  <c r="B54" i="9"/>
  <c r="D54" i="9" s="1"/>
  <c r="B53" i="9"/>
  <c r="D53" i="9" s="1"/>
  <c r="B52" i="9"/>
  <c r="D52" i="9" s="1"/>
  <c r="B51" i="9"/>
  <c r="D51" i="9" s="1"/>
  <c r="B50" i="9"/>
  <c r="D50" i="9" s="1"/>
  <c r="B49" i="9"/>
  <c r="D49" i="9" s="1"/>
  <c r="B48" i="9"/>
  <c r="D48" i="9" s="1"/>
  <c r="B47" i="9"/>
  <c r="D47" i="9" s="1"/>
  <c r="B46" i="9"/>
  <c r="D46" i="9" s="1"/>
  <c r="B45" i="9"/>
  <c r="D45" i="9" s="1"/>
  <c r="B44" i="9"/>
  <c r="D44" i="9" s="1"/>
  <c r="B43" i="9"/>
  <c r="D43" i="9" s="1"/>
  <c r="B42" i="9"/>
  <c r="D42" i="9" s="1"/>
  <c r="B41" i="9"/>
  <c r="D41" i="9" s="1"/>
  <c r="B40" i="9"/>
  <c r="D40" i="9" s="1"/>
  <c r="B39" i="9"/>
  <c r="D39" i="9" s="1"/>
  <c r="B38" i="9"/>
  <c r="D38" i="9" s="1"/>
  <c r="B37" i="9"/>
  <c r="D37" i="9" s="1"/>
  <c r="B36" i="9"/>
  <c r="D36" i="9" s="1"/>
  <c r="B35" i="9"/>
  <c r="D35" i="9" s="1"/>
  <c r="B34" i="9"/>
  <c r="D34" i="9" s="1"/>
  <c r="B33" i="9"/>
  <c r="D33" i="9" s="1"/>
  <c r="B32" i="9"/>
  <c r="D32" i="9" s="1"/>
  <c r="B31" i="9"/>
  <c r="D31" i="9" s="1"/>
  <c r="B30" i="9"/>
  <c r="D30" i="9" s="1"/>
  <c r="B29" i="9"/>
  <c r="D29" i="9" s="1"/>
  <c r="B28" i="9"/>
  <c r="D28" i="9" s="1"/>
  <c r="B27" i="9"/>
  <c r="D27" i="9" s="1"/>
  <c r="B26" i="9"/>
  <c r="D26" i="9" s="1"/>
  <c r="B25" i="9"/>
  <c r="D25" i="9" s="1"/>
  <c r="B24" i="9"/>
  <c r="D24" i="9" s="1"/>
  <c r="B23" i="9"/>
  <c r="D23" i="9" s="1"/>
  <c r="B22" i="9"/>
  <c r="D22" i="9" s="1"/>
  <c r="B21" i="9"/>
  <c r="D21" i="9" s="1"/>
  <c r="B20" i="9"/>
  <c r="D20" i="9" s="1"/>
  <c r="B19" i="9"/>
  <c r="D19" i="9" s="1"/>
  <c r="B18" i="9"/>
  <c r="D18" i="9" s="1"/>
  <c r="B17" i="9"/>
  <c r="D17" i="9" s="1"/>
  <c r="B16" i="9"/>
  <c r="D16" i="9" s="1"/>
  <c r="B15" i="9"/>
  <c r="D15" i="9" s="1"/>
  <c r="B14" i="9"/>
  <c r="D14" i="9" s="1"/>
  <c r="B13" i="9"/>
  <c r="D13" i="9" s="1"/>
  <c r="B12" i="9"/>
  <c r="D12" i="9" s="1"/>
  <c r="B11" i="9"/>
  <c r="D11" i="9" s="1"/>
  <c r="B10" i="9"/>
  <c r="D10" i="9" s="1"/>
  <c r="B9" i="9"/>
  <c r="D9" i="9" s="1"/>
  <c r="K61" i="10" l="1"/>
  <c r="L61" i="10" s="1"/>
  <c r="K66" i="10"/>
  <c r="L66" i="10" s="1"/>
  <c r="K13" i="10"/>
  <c r="L13" i="10" s="1"/>
  <c r="K8" i="10"/>
  <c r="L8" i="10" s="1"/>
  <c r="K23" i="10"/>
  <c r="L23" i="10" s="1"/>
  <c r="B4" i="9"/>
  <c r="D4" i="9" s="1"/>
  <c r="B5" i="9"/>
  <c r="D5" i="9" s="1"/>
  <c r="C18" i="1" l="1"/>
  <c r="M47" i="10" l="1"/>
  <c r="M18" i="10"/>
  <c r="M64" i="10"/>
  <c r="M74" i="10"/>
  <c r="M76" i="10"/>
  <c r="M86" i="10"/>
  <c r="M42" i="10"/>
  <c r="M77" i="10"/>
  <c r="M37" i="10"/>
  <c r="M43" i="10"/>
  <c r="M48" i="10"/>
  <c r="M58" i="10"/>
  <c r="M55" i="10"/>
  <c r="M75" i="10"/>
  <c r="M54" i="10"/>
  <c r="M56" i="10"/>
  <c r="M41" i="10"/>
  <c r="M49" i="10"/>
  <c r="M68" i="10"/>
  <c r="M36" i="10"/>
  <c r="M69" i="10"/>
  <c r="M38" i="10"/>
  <c r="M72" i="10"/>
  <c r="M7" i="10"/>
  <c r="C8" i="13"/>
  <c r="B7" i="9"/>
  <c r="D7" i="9" s="1"/>
  <c r="B6" i="9"/>
  <c r="D6" i="9" s="1"/>
  <c r="B8" i="9" l="1"/>
  <c r="D8" i="9" s="1"/>
  <c r="K15" i="4" s="1"/>
  <c r="I8" i="4" l="1"/>
  <c r="L8" i="4"/>
  <c r="K8" i="4"/>
  <c r="J7" i="4"/>
  <c r="I6" i="4"/>
  <c r="I7" i="4"/>
  <c r="H6" i="4"/>
  <c r="P4" i="10" s="1"/>
  <c r="H8" i="4"/>
  <c r="P7" i="10" s="1"/>
  <c r="L7" i="4"/>
  <c r="J8" i="4"/>
  <c r="H7" i="4"/>
  <c r="J6" i="4"/>
  <c r="K6" i="4"/>
  <c r="K7" i="4"/>
  <c r="L6" i="4"/>
  <c r="L59" i="4"/>
  <c r="K66" i="4"/>
  <c r="L47" i="4"/>
  <c r="H68" i="4"/>
  <c r="I90" i="4"/>
  <c r="I68" i="4"/>
  <c r="J49" i="4"/>
  <c r="J50" i="4"/>
  <c r="L92" i="4"/>
  <c r="I94" i="4"/>
  <c r="K94" i="4"/>
  <c r="H69" i="4"/>
  <c r="J19" i="4"/>
  <c r="I83" i="4"/>
  <c r="K31" i="4"/>
  <c r="H17" i="4"/>
  <c r="J38" i="4"/>
  <c r="J17" i="4"/>
  <c r="I46" i="4"/>
  <c r="H45" i="4"/>
  <c r="P19" i="10" s="1"/>
  <c r="H42" i="4"/>
  <c r="J102" i="4"/>
  <c r="I65" i="4"/>
  <c r="L96" i="4"/>
  <c r="H55" i="4"/>
  <c r="J46" i="4"/>
  <c r="L17" i="4"/>
  <c r="L60" i="4"/>
  <c r="K39" i="4"/>
  <c r="L55" i="4"/>
  <c r="L86" i="4"/>
  <c r="J70" i="4"/>
  <c r="J59" i="4"/>
  <c r="L11" i="4"/>
  <c r="H50" i="4"/>
  <c r="I55" i="4"/>
  <c r="L61" i="4"/>
  <c r="L43" i="4"/>
  <c r="J82" i="4"/>
  <c r="L75" i="4"/>
  <c r="J61" i="4"/>
  <c r="K55" i="4"/>
  <c r="J92" i="4"/>
  <c r="L40" i="4"/>
  <c r="J55" i="4"/>
  <c r="L29" i="4"/>
  <c r="I47" i="4"/>
  <c r="H36" i="4"/>
  <c r="J47" i="4"/>
  <c r="J100" i="4"/>
  <c r="H19" i="4"/>
  <c r="J60" i="4"/>
  <c r="J66" i="4"/>
  <c r="H81" i="4"/>
  <c r="H94" i="4"/>
  <c r="K50" i="4"/>
  <c r="J75" i="4"/>
  <c r="H77" i="4"/>
  <c r="H93" i="4"/>
  <c r="H43" i="4"/>
  <c r="H92" i="4"/>
  <c r="L81" i="4"/>
  <c r="H13" i="4"/>
  <c r="P27" i="10" s="1"/>
  <c r="L56" i="4"/>
  <c r="J32" i="4"/>
  <c r="I20" i="4"/>
  <c r="J65" i="4"/>
  <c r="L74" i="4"/>
  <c r="J44" i="4"/>
  <c r="I66" i="4"/>
  <c r="I25" i="4"/>
  <c r="I16" i="4"/>
  <c r="J11" i="4"/>
  <c r="H56" i="4"/>
  <c r="P52" i="10" s="1"/>
  <c r="I69" i="4"/>
  <c r="K58" i="4"/>
  <c r="L101" i="4"/>
  <c r="H66" i="4"/>
  <c r="I96" i="4"/>
  <c r="K27" i="4"/>
  <c r="H49" i="4"/>
  <c r="P41" i="10" s="1"/>
  <c r="L67" i="4"/>
  <c r="K62" i="4"/>
  <c r="H100" i="4"/>
  <c r="H16" i="4"/>
  <c r="K67" i="4"/>
  <c r="I92" i="4"/>
  <c r="L30" i="4"/>
  <c r="J94" i="4"/>
  <c r="I9" i="4"/>
  <c r="H27" i="4"/>
  <c r="K65" i="4"/>
  <c r="L22" i="4"/>
  <c r="L90" i="4"/>
  <c r="K60" i="4"/>
  <c r="I56" i="4"/>
  <c r="I28" i="4"/>
  <c r="K96" i="4"/>
  <c r="J86" i="4"/>
  <c r="K74" i="4"/>
  <c r="K102" i="4"/>
  <c r="I32" i="4"/>
  <c r="L82" i="4"/>
  <c r="K47" i="4"/>
  <c r="H28" i="4"/>
  <c r="J45" i="4"/>
  <c r="I42" i="4"/>
  <c r="I102" i="4"/>
  <c r="I87" i="4"/>
  <c r="I22" i="4"/>
  <c r="K46" i="4"/>
  <c r="H53" i="4"/>
  <c r="L93" i="4"/>
  <c r="K90" i="4"/>
  <c r="K25" i="4"/>
  <c r="I17" i="4"/>
  <c r="L51" i="4"/>
  <c r="H12" i="4"/>
  <c r="I38" i="4"/>
  <c r="K52" i="4"/>
  <c r="L50" i="4"/>
  <c r="H88" i="4"/>
  <c r="H74" i="4"/>
  <c r="L91" i="4"/>
  <c r="I21" i="4"/>
  <c r="J12" i="4"/>
  <c r="J56" i="4"/>
  <c r="I70" i="4"/>
  <c r="J67" i="4"/>
  <c r="K92" i="4"/>
  <c r="I101" i="4"/>
  <c r="K40" i="4"/>
  <c r="J22" i="4"/>
  <c r="H59" i="4"/>
  <c r="L49" i="4"/>
  <c r="I82" i="4"/>
  <c r="H67" i="4"/>
  <c r="I26" i="4"/>
  <c r="J69" i="4"/>
  <c r="H65" i="4"/>
  <c r="L27" i="4"/>
  <c r="H61" i="4"/>
  <c r="L83" i="4"/>
  <c r="K69" i="4"/>
  <c r="K17" i="4"/>
  <c r="H34" i="4"/>
  <c r="H62" i="4"/>
  <c r="J27" i="4"/>
  <c r="H38" i="4"/>
  <c r="I78" i="4"/>
  <c r="L98" i="4"/>
  <c r="H78" i="4"/>
  <c r="L36" i="4"/>
  <c r="L58" i="4"/>
  <c r="J98" i="4"/>
  <c r="K44" i="4"/>
  <c r="J77" i="4"/>
  <c r="I77" i="4"/>
  <c r="L97" i="4"/>
  <c r="K93" i="4"/>
  <c r="I36" i="4"/>
  <c r="K38" i="4"/>
  <c r="K45" i="4"/>
  <c r="I84" i="4"/>
  <c r="H26" i="4"/>
  <c r="K42" i="4"/>
  <c r="I13" i="4"/>
  <c r="H98" i="4"/>
  <c r="L66" i="4"/>
  <c r="K16" i="4"/>
  <c r="L99" i="4"/>
  <c r="K78" i="4"/>
  <c r="L46" i="4"/>
  <c r="J53" i="4"/>
  <c r="L45" i="4"/>
  <c r="H47" i="4"/>
  <c r="L72" i="4"/>
  <c r="I53" i="4"/>
  <c r="K99" i="4"/>
  <c r="J93" i="4"/>
  <c r="J26" i="4"/>
  <c r="H73" i="4"/>
  <c r="P65" i="10" s="1"/>
  <c r="J91" i="4"/>
  <c r="L63" i="4"/>
  <c r="I31" i="4"/>
  <c r="H35" i="4"/>
  <c r="I51" i="4"/>
  <c r="L12" i="4"/>
  <c r="J58" i="4"/>
  <c r="L26" i="4"/>
  <c r="L39" i="4"/>
  <c r="K51" i="4"/>
  <c r="J29" i="4"/>
  <c r="H9" i="4"/>
  <c r="H20" i="4"/>
  <c r="H39" i="4"/>
  <c r="L87" i="4"/>
  <c r="H87" i="4"/>
  <c r="J74" i="4"/>
  <c r="H52" i="4"/>
  <c r="I40" i="4"/>
  <c r="K68" i="4"/>
  <c r="J101" i="4"/>
  <c r="H15" i="4"/>
  <c r="K79" i="4"/>
  <c r="K29" i="4"/>
  <c r="H102" i="4"/>
  <c r="H58" i="4"/>
  <c r="J13" i="4"/>
  <c r="K19" i="4"/>
  <c r="H60" i="4"/>
  <c r="I81" i="4"/>
  <c r="H29" i="4"/>
  <c r="K84" i="4"/>
  <c r="I49" i="4"/>
  <c r="L25" i="4"/>
  <c r="K97" i="4"/>
  <c r="I58" i="4"/>
  <c r="J81" i="4"/>
  <c r="K101" i="4"/>
  <c r="L52" i="4"/>
  <c r="K28" i="4"/>
  <c r="I45" i="4"/>
  <c r="L42" i="4"/>
  <c r="H63" i="4"/>
  <c r="P53" i="10" s="1"/>
  <c r="I75" i="4"/>
  <c r="K87" i="4"/>
  <c r="I12" i="4"/>
  <c r="K61" i="4"/>
  <c r="H84" i="4"/>
  <c r="L9" i="4"/>
  <c r="K81" i="4"/>
  <c r="L88" i="4"/>
  <c r="H83" i="4"/>
  <c r="J20" i="4"/>
  <c r="L28" i="4"/>
  <c r="K11" i="4"/>
  <c r="K26" i="4"/>
  <c r="I67" i="4"/>
  <c r="J97" i="4"/>
  <c r="L62" i="4"/>
  <c r="I79" i="4"/>
  <c r="H51" i="4"/>
  <c r="L44" i="4"/>
  <c r="H96" i="4"/>
  <c r="H90" i="4"/>
  <c r="I86" i="4"/>
  <c r="J78" i="4"/>
  <c r="H101" i="4"/>
  <c r="I97" i="4"/>
  <c r="L70" i="4"/>
  <c r="L19" i="4"/>
  <c r="J90" i="4"/>
  <c r="I30" i="4"/>
  <c r="H30" i="4"/>
  <c r="J87" i="4"/>
  <c r="J88" i="4"/>
  <c r="K70" i="4"/>
  <c r="K63" i="4"/>
  <c r="I35" i="4"/>
  <c r="H70" i="4"/>
  <c r="K59" i="4"/>
  <c r="I74" i="4"/>
  <c r="H21" i="4"/>
  <c r="H22" i="4"/>
  <c r="L34" i="4"/>
  <c r="K35" i="4"/>
  <c r="J84" i="4"/>
  <c r="J99" i="4"/>
  <c r="K73" i="4"/>
  <c r="K88" i="4"/>
  <c r="K91" i="4"/>
  <c r="L53" i="4"/>
  <c r="J63" i="4"/>
  <c r="L102" i="4"/>
  <c r="K32" i="4"/>
  <c r="H72" i="4"/>
  <c r="K72" i="4"/>
  <c r="K77" i="4"/>
  <c r="I62" i="4"/>
  <c r="L16" i="4"/>
  <c r="I99" i="4"/>
  <c r="K13" i="4"/>
  <c r="L65" i="4"/>
  <c r="H44" i="4"/>
  <c r="P18" i="10" s="1"/>
  <c r="L38" i="4"/>
  <c r="J52" i="4"/>
  <c r="K53" i="4"/>
  <c r="J15" i="4"/>
  <c r="L78" i="4"/>
  <c r="I93" i="4"/>
  <c r="K21" i="4"/>
  <c r="I43" i="4"/>
  <c r="I29" i="4"/>
  <c r="K83" i="4"/>
  <c r="K12" i="4"/>
  <c r="H25" i="4"/>
  <c r="P29" i="10" s="1"/>
  <c r="K100" i="4"/>
  <c r="J73" i="4"/>
  <c r="L32" i="4"/>
  <c r="I50" i="4"/>
  <c r="L79" i="4"/>
  <c r="J25" i="4"/>
  <c r="H97" i="4"/>
  <c r="P73" i="10" s="1"/>
  <c r="I61" i="4"/>
  <c r="L35" i="4"/>
  <c r="K36" i="4"/>
  <c r="K30" i="4"/>
  <c r="I59" i="4"/>
  <c r="L68" i="4"/>
  <c r="I15" i="4"/>
  <c r="J43" i="4"/>
  <c r="K9" i="4"/>
  <c r="K56" i="4"/>
  <c r="H82" i="4"/>
  <c r="K34" i="4"/>
  <c r="L20" i="4"/>
  <c r="I72" i="4"/>
  <c r="I88" i="4"/>
  <c r="I34" i="4"/>
  <c r="H86" i="4"/>
  <c r="I73" i="4"/>
  <c r="J16" i="4"/>
  <c r="I63" i="4"/>
  <c r="K82" i="4"/>
  <c r="J39" i="4"/>
  <c r="I60" i="4"/>
  <c r="H11" i="4"/>
  <c r="P25" i="10" s="1"/>
  <c r="H75" i="4"/>
  <c r="K98" i="4"/>
  <c r="J51" i="4"/>
  <c r="L69" i="4"/>
  <c r="H46" i="4"/>
  <c r="H31" i="4"/>
  <c r="H40" i="4"/>
  <c r="I11" i="4"/>
  <c r="I98" i="4"/>
  <c r="J68" i="4"/>
  <c r="K86" i="4"/>
  <c r="K75" i="4"/>
  <c r="H32" i="4"/>
  <c r="L94" i="4"/>
  <c r="H79" i="4"/>
  <c r="J83" i="4"/>
  <c r="H91" i="4"/>
  <c r="I27" i="4"/>
  <c r="J28" i="4"/>
  <c r="J36" i="4"/>
  <c r="L13" i="4"/>
  <c r="K49" i="4"/>
  <c r="I44" i="4"/>
  <c r="I52" i="4"/>
  <c r="I91" i="4"/>
  <c r="J34" i="4"/>
  <c r="L15" i="4"/>
  <c r="K43" i="4"/>
  <c r="L77" i="4"/>
  <c r="K22" i="4"/>
  <c r="K20" i="4"/>
  <c r="I39" i="4"/>
  <c r="L100" i="4"/>
  <c r="L84" i="4"/>
  <c r="J40" i="4"/>
  <c r="J21" i="4"/>
  <c r="L31" i="4"/>
  <c r="J9" i="4"/>
  <c r="I100" i="4"/>
  <c r="J96" i="4"/>
  <c r="L21" i="4"/>
  <c r="H99" i="4"/>
  <c r="J79" i="4"/>
  <c r="J31" i="4"/>
  <c r="J30" i="4"/>
  <c r="L73" i="4"/>
  <c r="J42" i="4"/>
  <c r="J35" i="4"/>
  <c r="I19" i="4"/>
  <c r="J72" i="4"/>
  <c r="J62" i="4"/>
  <c r="P60" i="10" l="1"/>
  <c r="P63" i="10"/>
  <c r="P45" i="10"/>
  <c r="P51" i="10"/>
  <c r="K29" i="10"/>
  <c r="L29" i="10" s="1"/>
  <c r="K25" i="10"/>
  <c r="L25" i="10" s="1"/>
  <c r="K73" i="10"/>
  <c r="L73" i="10" s="1"/>
  <c r="K52" i="10"/>
  <c r="L52" i="10" s="1"/>
  <c r="K18" i="10"/>
  <c r="L18" i="10" s="1"/>
  <c r="K4" i="10"/>
  <c r="L4" i="10" s="1"/>
  <c r="K19" i="10"/>
  <c r="L19" i="10" s="1"/>
  <c r="K27" i="10"/>
  <c r="L27" i="10" s="1"/>
  <c r="K53" i="10"/>
  <c r="L53" i="10" s="1"/>
  <c r="K65" i="10"/>
  <c r="L65" i="10" s="1"/>
  <c r="K41" i="10"/>
  <c r="L41" i="10" s="1"/>
  <c r="P9" i="10"/>
  <c r="P24" i="10"/>
  <c r="P54" i="10"/>
  <c r="P36" i="10"/>
  <c r="P48" i="10"/>
  <c r="P6" i="10"/>
  <c r="P35" i="10"/>
  <c r="P56" i="10"/>
  <c r="P77" i="10"/>
  <c r="P12" i="10"/>
  <c r="P70" i="10"/>
  <c r="P84" i="10"/>
  <c r="P58" i="10"/>
  <c r="P5" i="10"/>
  <c r="P85" i="10"/>
  <c r="P72" i="10"/>
  <c r="P88" i="10"/>
  <c r="P75" i="10"/>
  <c r="P49" i="10"/>
  <c r="P62" i="10"/>
  <c r="P20" i="10"/>
  <c r="P39" i="10"/>
  <c r="P22" i="10"/>
  <c r="P28" i="10"/>
  <c r="P34" i="10"/>
  <c r="P78" i="10"/>
  <c r="P14" i="10"/>
  <c r="P86" i="10"/>
  <c r="P10" i="10"/>
  <c r="P15" i="10"/>
  <c r="P33" i="10"/>
  <c r="P67" i="10"/>
  <c r="P71" i="10"/>
  <c r="P74" i="10"/>
  <c r="P83" i="10"/>
  <c r="P50" i="10"/>
  <c r="P11" i="10"/>
  <c r="P55" i="10"/>
  <c r="P40" i="10"/>
  <c r="P87" i="10"/>
  <c r="P16" i="10"/>
  <c r="P31" i="10"/>
  <c r="P30" i="10"/>
  <c r="P43" i="10"/>
  <c r="P80" i="10"/>
  <c r="P32" i="10"/>
  <c r="P82" i="10"/>
  <c r="P79" i="10"/>
  <c r="P81" i="10"/>
  <c r="P68" i="10"/>
  <c r="P76" i="10"/>
  <c r="P17" i="10"/>
  <c r="P37" i="10"/>
  <c r="P46" i="10"/>
  <c r="P69" i="10"/>
  <c r="P38" i="10"/>
  <c r="P42" i="10"/>
  <c r="P57" i="10"/>
  <c r="P21" i="10"/>
  <c r="P47" i="10"/>
  <c r="P44" i="10"/>
  <c r="P26" i="10"/>
  <c r="P64" i="10"/>
  <c r="P59" i="10"/>
  <c r="L105" i="4"/>
  <c r="J105" i="4"/>
  <c r="H105" i="4"/>
  <c r="I105" i="4"/>
  <c r="K105" i="4"/>
  <c r="Q81" i="10" l="1"/>
  <c r="K81" i="10" s="1"/>
  <c r="L81" i="10" s="1"/>
  <c r="K60" i="10"/>
  <c r="L60" i="10" s="1"/>
  <c r="K63" i="10"/>
  <c r="L63" i="10" s="1"/>
  <c r="K45" i="10"/>
  <c r="L45" i="10" s="1"/>
  <c r="Q6" i="10"/>
  <c r="K51" i="10"/>
  <c r="L51" i="10" s="1"/>
  <c r="I114" i="4"/>
  <c r="K114" i="4"/>
  <c r="L114" i="4"/>
  <c r="H114" i="4"/>
  <c r="D10" i="13" s="1"/>
  <c r="J114" i="4"/>
  <c r="K14" i="10"/>
  <c r="L14" i="10" s="1"/>
  <c r="K36" i="10"/>
  <c r="L36" i="10" s="1"/>
  <c r="K64" i="10"/>
  <c r="L64" i="10" s="1"/>
  <c r="K78" i="10"/>
  <c r="L78" i="10" s="1"/>
  <c r="K54" i="10"/>
  <c r="L54" i="10" s="1"/>
  <c r="K16" i="10"/>
  <c r="L16" i="10" s="1"/>
  <c r="K34" i="10"/>
  <c r="L34" i="10" s="1"/>
  <c r="K24" i="10"/>
  <c r="L24" i="10" s="1"/>
  <c r="K79" i="10"/>
  <c r="L79" i="10" s="1"/>
  <c r="K28" i="10"/>
  <c r="L28" i="10" s="1"/>
  <c r="K9" i="10"/>
  <c r="L9" i="10" s="1"/>
  <c r="K76" i="10"/>
  <c r="L76" i="10" s="1"/>
  <c r="K82" i="10"/>
  <c r="L82" i="10" s="1"/>
  <c r="K22" i="10"/>
  <c r="L22" i="10" s="1"/>
  <c r="K68" i="10"/>
  <c r="L68" i="10" s="1"/>
  <c r="K32" i="10"/>
  <c r="L32" i="10" s="1"/>
  <c r="K39" i="10"/>
  <c r="L39" i="10" s="1"/>
  <c r="K80" i="10"/>
  <c r="L80" i="10" s="1"/>
  <c r="K20" i="10"/>
  <c r="L20" i="10" s="1"/>
  <c r="K43" i="10"/>
  <c r="L43" i="10" s="1"/>
  <c r="K62" i="10"/>
  <c r="L62" i="10" s="1"/>
  <c r="K88" i="10"/>
  <c r="L88" i="10" s="1"/>
  <c r="K30" i="10"/>
  <c r="L30" i="10" s="1"/>
  <c r="K49" i="10"/>
  <c r="L49" i="10" s="1"/>
  <c r="K59" i="10"/>
  <c r="L59" i="10" s="1"/>
  <c r="K87" i="10"/>
  <c r="L87" i="10" s="1"/>
  <c r="K72" i="10"/>
  <c r="L72" i="10" s="1"/>
  <c r="K26" i="10"/>
  <c r="L26" i="10" s="1"/>
  <c r="K11" i="10"/>
  <c r="L11" i="10" s="1"/>
  <c r="K84" i="10"/>
  <c r="L84" i="10" s="1"/>
  <c r="K57" i="10"/>
  <c r="L57" i="10" s="1"/>
  <c r="K74" i="10"/>
  <c r="L74" i="10" s="1"/>
  <c r="K12" i="10"/>
  <c r="L12" i="10" s="1"/>
  <c r="K75" i="10"/>
  <c r="L75" i="10" s="1"/>
  <c r="K55" i="10"/>
  <c r="L55" i="10" s="1"/>
  <c r="K71" i="10"/>
  <c r="L71" i="10" s="1"/>
  <c r="K77" i="10"/>
  <c r="L77" i="10" s="1"/>
  <c r="K70" i="10"/>
  <c r="L70" i="10" s="1"/>
  <c r="K67" i="10"/>
  <c r="L67" i="10" s="1"/>
  <c r="K31" i="10"/>
  <c r="L31" i="10" s="1"/>
  <c r="K85" i="10"/>
  <c r="L85" i="10" s="1"/>
  <c r="K50" i="10"/>
  <c r="L50" i="10" s="1"/>
  <c r="K69" i="10"/>
  <c r="L69" i="10" s="1"/>
  <c r="K56" i="10"/>
  <c r="L56" i="10" s="1"/>
  <c r="K40" i="10"/>
  <c r="L40" i="10" s="1"/>
  <c r="K58" i="10"/>
  <c r="L58" i="10" s="1"/>
  <c r="K21" i="10"/>
  <c r="L21" i="10" s="1"/>
  <c r="K42" i="10"/>
  <c r="L42" i="10" s="1"/>
  <c r="K46" i="10"/>
  <c r="L46" i="10" s="1"/>
  <c r="K15" i="10"/>
  <c r="L15" i="10" s="1"/>
  <c r="K35" i="10"/>
  <c r="L35" i="10" s="1"/>
  <c r="K5" i="10"/>
  <c r="L5" i="10" s="1"/>
  <c r="K47" i="10"/>
  <c r="L47" i="10" s="1"/>
  <c r="K83" i="10"/>
  <c r="L83" i="10" s="1"/>
  <c r="K38" i="10"/>
  <c r="L38" i="10" s="1"/>
  <c r="K37" i="10"/>
  <c r="L37" i="10" s="1"/>
  <c r="K10" i="10"/>
  <c r="L10" i="10" s="1"/>
  <c r="K44" i="10"/>
  <c r="L44" i="10" s="1"/>
  <c r="K33" i="10"/>
  <c r="L33" i="10" s="1"/>
  <c r="K17" i="10"/>
  <c r="L17" i="10" s="1"/>
  <c r="K86" i="10"/>
  <c r="L86" i="10" s="1"/>
  <c r="K48" i="10"/>
  <c r="L48" i="10" s="1"/>
  <c r="Q7" i="10" l="1"/>
  <c r="D7" i="13"/>
  <c r="D9" i="13"/>
  <c r="D8" i="13"/>
  <c r="D6" i="13"/>
  <c r="K6" i="10"/>
  <c r="L6" i="10" s="1"/>
  <c r="K7" i="10" l="1"/>
  <c r="L7" i="10" s="1"/>
  <c r="D66" i="11" a="1"/>
  <c r="D6" i="11" a="1"/>
  <c r="D12" i="11" a="1"/>
  <c r="D35" i="11" a="1"/>
  <c r="D78" i="11" a="1"/>
  <c r="D49" i="11" a="1"/>
  <c r="W6" i="11" l="1" a="1"/>
  <c r="W6" i="11" s="1"/>
  <c r="B19" i="13" s="1"/>
  <c r="D6" i="11"/>
  <c r="W78" i="11" a="1"/>
  <c r="W78" i="11" s="1"/>
  <c r="B29" i="13" s="1"/>
  <c r="W35" i="11" a="1"/>
  <c r="W35" i="11" s="1"/>
  <c r="B23" i="13" s="1"/>
  <c r="W12" i="11" a="1"/>
  <c r="W12" i="11" s="1"/>
  <c r="W66" i="11" a="1"/>
  <c r="W66" i="11" s="1"/>
  <c r="B27" i="13" s="1"/>
  <c r="W49" i="11" a="1"/>
  <c r="W49" i="11" s="1"/>
  <c r="B25" i="13" s="1"/>
  <c r="D66" i="11"/>
  <c r="D78" i="11"/>
  <c r="D35" i="11"/>
  <c r="D49" i="11"/>
  <c r="D12" i="11"/>
  <c r="M2" i="11"/>
  <c r="B2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tc={7C5DA59E-6164-4F4C-9966-1ACE9BABBA1B}</author>
  </authors>
  <commentList>
    <comment ref="C99" authorId="0" shapeId="0" xr:uid="{7C5DA59E-6164-4F4C-9966-1ACE9BABBA1B}">
      <text>
        <t>[Threaded comment]
Your version of Excel allows you to read this threaded comment; however, any edits to it will get removed if the file is opened in a newer version of Excel. Learn more: https://go.microsoft.com/fwlink/?linkid=870924
Comment:
    @Sami Khan @Deb Caraco Am I able to delete the "Other" and "N/A" rows without it messing up scoring and connections to other linked charts?
Reply:
    For this particular sheet, removing the rows with   "Other" and "N/A", will not mess-up with anything. However, if  non-zero scores are assigned for any "Other" and "N/A", then those should be removed. But I think, "Other" and "N/A" should always have non-zero scores.
Reply:
    I will check to make sure that I only delete those rows with no point values associated. Thank you
Reply:
    Thanks Paige.  I don't think any of the "Other" values had points.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tc={B12B288C-DD5B-4B48-9B82-83F595962FC7}</author>
  </authors>
  <commentList>
    <comment ref="C57" authorId="0" shapeId="0" xr:uid="{B12B288C-DD5B-4B48-9B82-83F595962FC7}">
      <text>
        <t>[Threaded comment]
Your version of Excel allows you to read this threaded comment; however, any edits to it will get removed if the file is opened in a newer version of Excel. Learn more: https://go.microsoft.com/fwlink/?linkid=870924
Comment:
    @Sami Khan @Deb Caraco Am I able to delete the "Other" and "N/A" rows without it messing up scoring and connections to other linked charts?
Reply:
    For this particular sheet, removing the rows with   "Other" and "N/A", will not mess-up with anything. However, if  non-zero scores are assigned for any "Other" and "N/A", then those should be removed. But I think, "Other" and "N/A" should always have non-zero scores.
Reply:
    I will check to make sure that I only delete those rows with no point values associated. Thank you
Reply:
    Thanks Paige.  I don't think any of the "Other" values had points.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<sst xmlns="http://schemas.openxmlformats.org/spreadsheetml/2006/main" count="1145" uniqueCount="460">
  <si>
    <t>Climate Assessment Tool for Stormwater Standards (CATSS)</t>
  </si>
  <si>
    <r>
      <t>The Climate Assessment Tool for Stormwater Standards (CATSS) was developed by the Center for Watershed Protection (CWP) and funded by CWP’s National Watershed Research Network.</t>
    </r>
    <r>
      <rPr>
        <b/>
        <i/>
        <sz val="12"/>
        <color rgb="FF000000"/>
        <rFont val="Aptos"/>
        <family val="2"/>
      </rPr>
      <t xml:space="preserve"> </t>
    </r>
    <r>
      <rPr>
        <b/>
        <sz val="12"/>
        <color rgb="FF000000"/>
        <rFont val="Aptos"/>
        <family val="2"/>
      </rPr>
      <t>The CATSS is meant for use by local and regional agencies to evaluate their existing stormwater standards</t>
    </r>
    <r>
      <rPr>
        <sz val="12"/>
        <color rgb="FF000000"/>
        <rFont val="Aptos"/>
        <family val="2"/>
      </rPr>
      <t xml:space="preserve"> </t>
    </r>
    <r>
      <rPr>
        <b/>
        <sz val="12"/>
        <color rgb="FF000000"/>
        <rFont val="Aptos"/>
        <family val="2"/>
      </rPr>
      <t>with respect to how well they address projected climate impacts.</t>
    </r>
    <r>
      <rPr>
        <sz val="12"/>
        <color rgb="FF000000"/>
        <rFont val="Aptos"/>
        <family val="2"/>
      </rPr>
      <t xml:space="preserve"> The CATSS includes 40 questions and provides specific recommendations for improvements based on the answers. This page provides instructions as well as more information on how and why this tool was developed.</t>
    </r>
  </si>
  <si>
    <t>Instructions for Using the CATSS:</t>
  </si>
  <si>
    <r>
      <rPr>
        <b/>
        <sz val="12"/>
        <color rgb="FF000000"/>
        <rFont val="Aptos"/>
        <family val="2"/>
      </rPr>
      <t xml:space="preserve">Step 1: </t>
    </r>
    <r>
      <rPr>
        <sz val="12"/>
        <color rgb="FF000000"/>
        <rFont val="Aptos"/>
        <family val="2"/>
      </rPr>
      <t>On Tab 2 (Enter State and Local Info), select your state to view the extent to which stormwater-related climate impacts are expected in your region.  </t>
    </r>
  </si>
  <si>
    <r>
      <rPr>
        <b/>
        <sz val="12"/>
        <color rgb="FF000000"/>
        <rFont val="Aptos"/>
        <family val="2"/>
      </rPr>
      <t>Step 2:</t>
    </r>
    <r>
      <rPr>
        <sz val="12"/>
        <color rgb="FF000000"/>
        <rFont val="Aptos"/>
        <family val="2"/>
      </rPr>
      <t xml:space="preserve"> Gather the relevant documents that govern stormwater management on new development and redevelopment in your community.  This may be a regional stormwater management manual, stormwater permit, local ordinance, and/or other type of document. Record the document name, and date of last update in the space provided in Tab 2 (Enter State and Local Info).</t>
    </r>
  </si>
  <si>
    <r>
      <rPr>
        <b/>
        <sz val="12"/>
        <color rgb="FF000000"/>
        <rFont val="Aptos"/>
        <family val="2"/>
      </rPr>
      <t>Step 3:</t>
    </r>
    <r>
      <rPr>
        <sz val="12"/>
        <color rgb="FF000000"/>
        <rFont val="Aptos"/>
        <family val="2"/>
      </rPr>
      <t xml:space="preserve"> Using the identified documents, answer the 40 Stormwater Management Questions in Tab 3 (Answer Assessment Questions). Once complete, you will see a score in each of five categories at the bottom of the sheet. Scores reflect the extent to which state stormwater standards include modern elements and address climate change impacts. </t>
    </r>
  </si>
  <si>
    <r>
      <rPr>
        <b/>
        <sz val="12"/>
        <color rgb="FF000000"/>
        <rFont val="Aptos"/>
        <family val="2"/>
      </rPr>
      <t xml:space="preserve">Step 4: </t>
    </r>
    <r>
      <rPr>
        <sz val="12"/>
        <color rgb="FF000000"/>
        <rFont val="Aptos"/>
        <family val="2"/>
      </rPr>
      <t>Use Tab 4 (Get Recommendations) to compare your scores in each category with the extent to which stormwater-related climate impacts are expected in your state or region and to view specific recommendations for improving your standards. You can choose to view all recommendations, or just those related to a specific category. </t>
    </r>
  </si>
  <si>
    <t>Background:</t>
  </si>
  <si>
    <t>Stormwater management systems have historically been designed based on the assumption that climate is stable. The unprecedented rate of change in global climate patterns therefore has important implications for stormwater managers; yet, incorporating climate information into stormwater management has been a challenge for many communities.  </t>
  </si>
  <si>
    <t xml:space="preserve">To provide a clearer understanding of the current state-level stormwater management approaches to climate resiliency, CWP reviewed the existing state post-construction stormwater standards and authored a white paper that provides actionable recommendations for state agencies to adapt stormwater standards to climate change. The results are summarized in the white paper "Accounting for Climate Change in Post-Construction Stormwater Standards." </t>
  </si>
  <si>
    <t>The CATSS is a modified version of the questionnaire used by CWP to review all 50 states’ stormwater standards.  It is intended for use by local and regional agencies who maintain their own stormwater standards to identify where improvements can be made to increase resilience of new developments and stay up to date with modern stormwater management principles and science. Strengthening these standards is especially important in cities and regions where the pace of urban growth is high or expected to increase.</t>
  </si>
  <si>
    <t xml:space="preserve">To download the white paper and associated materials, go to: </t>
  </si>
  <si>
    <t>https://cwp.org/accounting-for-climate-change-in-post-construction-stormwater-standards</t>
  </si>
  <si>
    <t>CATSS Version 1.0, created September 2024 by the Center for Watershed Protection</t>
  </si>
  <si>
    <r>
      <t xml:space="preserve">This tool is for use by </t>
    </r>
    <r>
      <rPr>
        <b/>
        <sz val="12"/>
        <color theme="1"/>
        <rFont val="Aptos"/>
        <family val="2"/>
      </rPr>
      <t xml:space="preserve">local or regional agencies who maintain stormwater standards for new development and redevelopment </t>
    </r>
    <r>
      <rPr>
        <b/>
        <u/>
        <sz val="12"/>
        <color theme="1"/>
        <rFont val="Aptos"/>
        <family val="2"/>
      </rPr>
      <t>that are different from state standards</t>
    </r>
    <r>
      <rPr>
        <sz val="12"/>
        <color theme="1"/>
        <rFont val="Aptos"/>
        <family val="2"/>
      </rPr>
      <t xml:space="preserve">. Local agencies who follow the state-established stormwater standards can view results for their state at: </t>
    </r>
  </si>
  <si>
    <r>
      <t xml:space="preserve">Enter data in </t>
    </r>
    <r>
      <rPr>
        <b/>
        <sz val="12"/>
        <color rgb="FF4C721D"/>
        <rFont val="Aptos"/>
        <family val="2"/>
      </rPr>
      <t>GREEN</t>
    </r>
    <r>
      <rPr>
        <b/>
        <sz val="12"/>
        <color theme="1"/>
        <rFont val="Aptos"/>
        <family val="2"/>
      </rPr>
      <t xml:space="preserve"> cells below.</t>
    </r>
  </si>
  <si>
    <t>GENERAL INFORMATION</t>
  </si>
  <si>
    <t>STATE</t>
  </si>
  <si>
    <t>Select State</t>
  </si>
  <si>
    <t>NAME OF GEOGRAPHIC AREA COVERED BY STANDARDS (e.g., Gotham City, TX; Fulton County, CA; Big Apple Metropolitan Region, CT)</t>
  </si>
  <si>
    <t>NAME OF DOCUMENT(S) REVIEWED</t>
  </si>
  <si>
    <t>DATE UPDATED</t>
  </si>
  <si>
    <t xml:space="preserve">View the extent to which stormwater-related climate impacts are expected in your state. </t>
  </si>
  <si>
    <t>STATE VULNERABILITY TO STORMWATER/CLIMATE IMPACTS</t>
  </si>
  <si>
    <t>Climate Impact</t>
  </si>
  <si>
    <t>Ranking</t>
  </si>
  <si>
    <r>
      <rPr>
        <b/>
        <sz val="12"/>
        <color theme="1"/>
        <rFont val="Aptos"/>
        <family val="2"/>
      </rPr>
      <t>High Precipitation</t>
    </r>
    <r>
      <rPr>
        <sz val="12"/>
        <color theme="1"/>
        <rFont val="Aptos"/>
        <family val="2"/>
      </rPr>
      <t>: Increased seasonal, annual, or event precipitation</t>
    </r>
  </si>
  <si>
    <r>
      <rPr>
        <b/>
        <sz val="12"/>
        <color theme="1"/>
        <rFont val="Aptos"/>
        <family val="2"/>
      </rPr>
      <t>Drought</t>
    </r>
    <r>
      <rPr>
        <sz val="12"/>
        <color theme="1"/>
        <rFont val="Aptos"/>
        <family val="2"/>
      </rPr>
      <t>: Low seasonal or annual precipitation or prolonged drought</t>
    </r>
  </si>
  <si>
    <r>
      <rPr>
        <b/>
        <sz val="12"/>
        <color theme="1"/>
        <rFont val="Aptos"/>
        <family val="2"/>
      </rPr>
      <t xml:space="preserve">High Temperature: </t>
    </r>
    <r>
      <rPr>
        <sz val="12"/>
        <color theme="1"/>
        <rFont val="Aptos"/>
        <family val="2"/>
      </rPr>
      <t>Increased annual or seasonal temperature and heat waves</t>
    </r>
  </si>
  <si>
    <r>
      <rPr>
        <b/>
        <sz val="12"/>
        <color theme="1"/>
        <rFont val="Aptos"/>
        <family val="2"/>
      </rPr>
      <t>Sea Level Rise:</t>
    </r>
    <r>
      <rPr>
        <sz val="12"/>
        <color theme="1"/>
        <rFont val="Aptos"/>
        <family val="2"/>
      </rPr>
      <t xml:space="preserve"> Increased sea level rise and storm surge</t>
    </r>
  </si>
  <si>
    <r>
      <t xml:space="preserve">Answer the questions below for your stormwater standards to see how well they address projected climate impacts. Only enter data in </t>
    </r>
    <r>
      <rPr>
        <b/>
        <sz val="12"/>
        <color rgb="FF4C721D"/>
        <rFont val="Aptos"/>
        <family val="2"/>
      </rPr>
      <t>GREEN</t>
    </r>
    <r>
      <rPr>
        <b/>
        <sz val="12"/>
        <color theme="1"/>
        <rFont val="Aptos"/>
        <family val="2"/>
      </rPr>
      <t xml:space="preserve"> cells. For Yes/No questions, no selection is necessary when the answer is No.</t>
    </r>
  </si>
  <si>
    <t>Scores will automatically populate as you answer the questions. Scroll to the bottom of the page to review total scoring for each category.</t>
  </si>
  <si>
    <t>STORMWATER MANAGEMENT QUESTIONS</t>
  </si>
  <si>
    <t>SELECT ANSWER</t>
  </si>
  <si>
    <t>SCORING: MODERN MANUAL</t>
  </si>
  <si>
    <t>SCORING: HIGH PRECIPITATION</t>
  </si>
  <si>
    <t>SCORING: DROUGHT</t>
  </si>
  <si>
    <t>SCORING: HIGH TEMPERATURE</t>
  </si>
  <si>
    <t>SCORING: SEA LEVEL RISE</t>
  </si>
  <si>
    <t>Section 1:  Overview and General Questions</t>
  </si>
  <si>
    <t>1)</t>
  </si>
  <si>
    <t>Do stormwater standards provide detailed guidance for selecting and designing appropriate stormwater best management pratices (BMPs)?</t>
  </si>
  <si>
    <t>2)</t>
  </si>
  <si>
    <t>Do the standards include a climate change section or mention of the effects of climate change on stormwater management?</t>
  </si>
  <si>
    <t>2a)</t>
  </si>
  <si>
    <t>If so, does this section explicitly address or mention sea level rise?</t>
  </si>
  <si>
    <t>2b)</t>
  </si>
  <si>
    <t>If applicable, does the climate section include specific recommendations for how to design practices to adapt to climate change?</t>
  </si>
  <si>
    <t>Section 2:  Stormwater Sizing Criteria and Storm Selection</t>
  </si>
  <si>
    <t>3)</t>
  </si>
  <si>
    <t>What is the source of data for water quantity (e.g., flood or channel protection) storms?</t>
  </si>
  <si>
    <t>4)</t>
  </si>
  <si>
    <t>Are design storms incorporated by reference (i.e. automatically updated as information changes)?</t>
  </si>
  <si>
    <t>5)</t>
  </si>
  <si>
    <t>What is the objective of water quantity sizing?</t>
  </si>
  <si>
    <t>6)</t>
  </si>
  <si>
    <t>Are any of these features incorporated into water quantity sizing ? (select "Yes" for all that apply)</t>
  </si>
  <si>
    <t>6a)</t>
  </si>
  <si>
    <t>Risk-based approach (e.g., providing greater flood control in flood-prone areas)</t>
  </si>
  <si>
    <t>6b)</t>
  </si>
  <si>
    <t>Continuous models based on existing rainfall patterns or a "typical year" are used to establish targets</t>
  </si>
  <si>
    <t>6c)</t>
  </si>
  <si>
    <t>Continuous models based on projected rainfall patterns (assuming climate change) are used to establish targets</t>
  </si>
  <si>
    <t>7)</t>
  </si>
  <si>
    <t>In addition to quantity (flood) control what other goals are incorporated into BMP sizing standards? (select "Yes" for all that apply)</t>
  </si>
  <si>
    <t>7a)</t>
  </si>
  <si>
    <t>Channel protection</t>
  </si>
  <si>
    <t>7b)</t>
  </si>
  <si>
    <t>Water quality</t>
  </si>
  <si>
    <t>7c)</t>
  </si>
  <si>
    <t>Recharge or runoff reduction</t>
  </si>
  <si>
    <t>7d)</t>
  </si>
  <si>
    <t>Rainwater harvesting</t>
  </si>
  <si>
    <t>8)</t>
  </si>
  <si>
    <t>What storm or method is used to size practices for water quality or runoff reduction? (select "Yes" for all that apply)</t>
  </si>
  <si>
    <t>8a)</t>
  </si>
  <si>
    <t>No specific storm is identified</t>
  </si>
  <si>
    <t>8b)</t>
  </si>
  <si>
    <t>90th percentile storm (often about 1")</t>
  </si>
  <si>
    <t>8c)</t>
  </si>
  <si>
    <t>1-year, 24-hour storm event</t>
  </si>
  <si>
    <t>8d)</t>
  </si>
  <si>
    <t>A short duration storm event (e.g., 5-yr, 1-hr)</t>
  </si>
  <si>
    <t>8e)</t>
  </si>
  <si>
    <t>Water quality target based on long-term modeling or curves</t>
  </si>
  <si>
    <t>8f)</t>
  </si>
  <si>
    <t>Traditional target pollutant (e.g., 80% total phosphorus removal presumed)</t>
  </si>
  <si>
    <t>8g)</t>
  </si>
  <si>
    <t>Achieve "woods in good condition" or equivalent hydrology</t>
  </si>
  <si>
    <t>9)</t>
  </si>
  <si>
    <t>Does water quality/runoff reduction sizing explicitly account for climate change (e.g., by evaluating a more intense or larger event)?</t>
  </si>
  <si>
    <t>10)</t>
  </si>
  <si>
    <t>Do the standards provide guidance on how to size rainwater harvesting systems?</t>
  </si>
  <si>
    <t>11)</t>
  </si>
  <si>
    <t>Do water quality or runoff reduction sizing design volumes vary based on the following? (Select "Yes" for all that apply)</t>
  </si>
  <si>
    <t>11a)</t>
  </si>
  <si>
    <t>Water quality of water resources (e.g., phosphorus-restricted basins or cold-water streams)</t>
  </si>
  <si>
    <t>11b)</t>
  </si>
  <si>
    <t>Intensity or size of development</t>
  </si>
  <si>
    <t>11c)</t>
  </si>
  <si>
    <t>Coastal vs non-coastal</t>
  </si>
  <si>
    <t>12)</t>
  </si>
  <si>
    <t>Does water quantity (channel or flood protection) sizing vary based on the following? (Select "Yes" for all that apply)</t>
  </si>
  <si>
    <t>12a)</t>
  </si>
  <si>
    <t>Downstream hydrology/history of flooding</t>
  </si>
  <si>
    <t>12b)</t>
  </si>
  <si>
    <t>Downstream channel condition</t>
  </si>
  <si>
    <t>12c)</t>
  </si>
  <si>
    <t>Capacity of infrastructure/conveyances downstream of the development site</t>
  </si>
  <si>
    <t>Section 3:  Stormwater BMP Selection and Siting</t>
  </si>
  <si>
    <t>13)</t>
  </si>
  <si>
    <t>Do the standards include a list of acceptable practices to meet water quality or runoff reduction criteria?</t>
  </si>
  <si>
    <t>14)</t>
  </si>
  <si>
    <t>Do standards promote or require designers to consider site design features that minimize impervious cover and protect critical natural areas (Low Impact Development, Environmental Site Design or Better Site Design).</t>
  </si>
  <si>
    <t>15)</t>
  </si>
  <si>
    <t xml:space="preserve">Do they explicitly prohibit practices that consume water (i.e. practices with a permanent pool of water or that may rely on irrigation)?  </t>
  </si>
  <si>
    <t>16)</t>
  </si>
  <si>
    <t>Do standards  incorporate any method to encourage the use of Green Infrastructure (GI) practices such as a hierarchy or a runoff reduction target that cannot be met without GI?</t>
  </si>
  <si>
    <t>17)</t>
  </si>
  <si>
    <t>Do standards promote natural areas conservation (methods may include explicit vegetation targets, credits applied for natural areas conservation, or identifying specific areas that are off limits)?</t>
  </si>
  <si>
    <t>18)</t>
  </si>
  <si>
    <t>Is there a specific credit such as a reduction in required volume applied for planting or preserving trees?</t>
  </si>
  <si>
    <t>19)</t>
  </si>
  <si>
    <t>Does practice siting account for the following climate change aspects? (select "Yes" for all that apply)</t>
  </si>
  <si>
    <t>19a)</t>
  </si>
  <si>
    <t>Rising groundwater</t>
  </si>
  <si>
    <t>19b)</t>
  </si>
  <si>
    <t>Changing floodplains</t>
  </si>
  <si>
    <t>19c)</t>
  </si>
  <si>
    <t>Providing additional "right of way" for practices during large or extreme storms</t>
  </si>
  <si>
    <t>19d)</t>
  </si>
  <si>
    <t>Sea level rise</t>
  </si>
  <si>
    <t>19e)</t>
  </si>
  <si>
    <t>Salt water intrusion</t>
  </si>
  <si>
    <t>Section 4:  Conveyance and Pretreatment</t>
  </si>
  <si>
    <t>20)</t>
  </si>
  <si>
    <t>What storm is used to define how the water quality or retention storm is conveyed to practices?</t>
  </si>
  <si>
    <t>21)</t>
  </si>
  <si>
    <t>What method of conservative conveyance is incoporated to accommodate climate change?</t>
  </si>
  <si>
    <t>22)</t>
  </si>
  <si>
    <t>Does inlet design incorporate design features that limit erosion from high intensity events? (select "Yes" for all that apply)</t>
  </si>
  <si>
    <t>22a)</t>
  </si>
  <si>
    <t>Detention storage provided at the practice inlet to reduce peak discharge</t>
  </si>
  <si>
    <t>22b)</t>
  </si>
  <si>
    <t>Practices designed off-line by using flow-diversion practices</t>
  </si>
  <si>
    <t>22c)</t>
  </si>
  <si>
    <t>Prescribe non-erosive conveyance of a specific design storm</t>
  </si>
  <si>
    <t>22d)</t>
  </si>
  <si>
    <t>Design ensures that the inlet and practice has the capacity to convey intense storm events</t>
  </si>
  <si>
    <t>23)</t>
  </si>
  <si>
    <t xml:space="preserve">Do the standards require pretreatment? </t>
  </si>
  <si>
    <t>24)</t>
  </si>
  <si>
    <t>If flow-based systems are allowed for pretreatment, how has their design been modified to accommodate increased storm intensity?</t>
  </si>
  <si>
    <t>25)</t>
  </si>
  <si>
    <t>Do the the standards incorporate any of the following conveyance measures to accommodate rising sea levels? (select "Yes" for all that apply)</t>
  </si>
  <si>
    <t>25a)</t>
  </si>
  <si>
    <t>Elevating outfall inverts to projected high tide</t>
  </si>
  <si>
    <t>25b)</t>
  </si>
  <si>
    <t>Check valves to prevent backups in outlet pipes</t>
  </si>
  <si>
    <t>25c)</t>
  </si>
  <si>
    <t>Incorporation of features that allow for future practice modification (e.g., elbow joint in bioretention outlets to allow future elevation of the outlet invert)</t>
  </si>
  <si>
    <t>25d)</t>
  </si>
  <si>
    <t>Oversizing pipes or open channels to account for lost storage from rising sea levels</t>
  </si>
  <si>
    <t>25e)</t>
  </si>
  <si>
    <t>Incorporating pumps or other features that provide increased head during high coastal levels</t>
  </si>
  <si>
    <t>26)</t>
  </si>
  <si>
    <t>Is internal water storage (e.g. the "upturned elbow") design incorporated into bioretention design standards?</t>
  </si>
  <si>
    <t>Section 5:  Stormwater Storage and BMP Materials</t>
  </si>
  <si>
    <t>27)</t>
  </si>
  <si>
    <t>For bioretention pratices, what fraction of the treatment or retention volume needs to be captured in ponding above the filter bed?</t>
  </si>
  <si>
    <t>28)</t>
  </si>
  <si>
    <t>How are “Smart BMP” technologies (i.e. technologies that include sensors and real-time adaptation based on observed flows and storm forecasts) incorporated or encouraged?</t>
  </si>
  <si>
    <t>29)</t>
  </si>
  <si>
    <t>Do designs for any practices require or incorporate a “reserve area” to accommodate future conversion (i.e., from infiltration or bioretention practice basin to a wet pond) due to sea level rise?</t>
  </si>
  <si>
    <t>30)</t>
  </si>
  <si>
    <t>Do any ultra-urban practices incorporate sub-surface flood storage?</t>
  </si>
  <si>
    <t>31)</t>
  </si>
  <si>
    <t>Do filter media specifications include any of the following specifications or additives include options for the following additives? (select "Yes" for all that apply)</t>
  </si>
  <si>
    <t>31a)</t>
  </si>
  <si>
    <t>Minimum % sand (at least 50%) and maximum clay content</t>
  </si>
  <si>
    <t>31b)</t>
  </si>
  <si>
    <t>Biochar</t>
  </si>
  <si>
    <t>31c)</t>
  </si>
  <si>
    <t>Polymers designed to retain soil moisture</t>
  </si>
  <si>
    <t>32)</t>
  </si>
  <si>
    <t>Are any of the following considered when selecting BMP materials? (select "Yes" for all that apply)</t>
  </si>
  <si>
    <t>32a)</t>
  </si>
  <si>
    <t>Temperature-resistance (e.g., incorporating stone matrix asphalt or polymer-modified binders into permeable pavement specifications)</t>
  </si>
  <si>
    <t>32b)</t>
  </si>
  <si>
    <t>Corrosion-resistance, such as use of corrosion-resistant concrete in areas of sea level rise</t>
  </si>
  <si>
    <t>32c)</t>
  </si>
  <si>
    <t>Carbon footprint of materials</t>
  </si>
  <si>
    <t>32d)</t>
  </si>
  <si>
    <t>Solar reflection (e.g., incorporating lighter color materials)</t>
  </si>
  <si>
    <t>Section 6: Maintenance and Landscaping</t>
  </si>
  <si>
    <t>33)</t>
  </si>
  <si>
    <t>Do standards require ongoing maintenance?</t>
  </si>
  <si>
    <t>34)</t>
  </si>
  <si>
    <t>Are inspection checklists provided in the standards?</t>
  </si>
  <si>
    <t>35)</t>
  </si>
  <si>
    <t xml:space="preserve"> Is an irrigation source required to establish vegetation or is an analysis required to determine if irrigation is needed?</t>
  </si>
  <si>
    <t>36)</t>
  </si>
  <si>
    <t>Does maintenance guidance mention adapting to the following? (select "Yes" for all that apply)</t>
  </si>
  <si>
    <t>36a)</t>
  </si>
  <si>
    <t>Drought</t>
  </si>
  <si>
    <t>36b)</t>
  </si>
  <si>
    <t>Frequent rainfall/erosive events</t>
  </si>
  <si>
    <t>36c)</t>
  </si>
  <si>
    <t>Sea level rise and inundation</t>
  </si>
  <si>
    <t>37)</t>
  </si>
  <si>
    <t>Do maintenance standards include a “practice conversion” option for changing climate conditions?</t>
  </si>
  <si>
    <t>38)</t>
  </si>
  <si>
    <t>Do standards include a landscaping plant list?</t>
  </si>
  <si>
    <t>39)</t>
  </si>
  <si>
    <t>Does the plant list identify plants with the following benefits or tolerances? (select "Yes" for all that apply)</t>
  </si>
  <si>
    <t>39a)</t>
  </si>
  <si>
    <t>Tolerance for "wet feet" (e.g., frequently inundated soils)</t>
  </si>
  <si>
    <t>39b)</t>
  </si>
  <si>
    <t>Frequent inundation tolerance</t>
  </si>
  <si>
    <t>39c)</t>
  </si>
  <si>
    <t>Prolonged drought resistance</t>
  </si>
  <si>
    <t>39d)</t>
  </si>
  <si>
    <t>Salt tolerance</t>
  </si>
  <si>
    <t>39e)</t>
  </si>
  <si>
    <t>Fire resistance</t>
  </si>
  <si>
    <t>39f)</t>
  </si>
  <si>
    <t>Shading/cooling</t>
  </si>
  <si>
    <t>40)</t>
  </si>
  <si>
    <t>Does the landscaping section suggest methods to modify plant selections based on changing climate conditions?</t>
  </si>
  <si>
    <t>TOTAL SCORE MODERN MANUAL</t>
  </si>
  <si>
    <t>TOTAL SCORE HIGH PRECIPITATION</t>
  </si>
  <si>
    <t>TOTAL SCORE DROUGHT</t>
  </si>
  <si>
    <t>TOTAL SCORE TEMPERATURE</t>
  </si>
  <si>
    <t>TOTAL SCORE SEA LEVEL RISE</t>
  </si>
  <si>
    <t>***hide rows</t>
  </si>
  <si>
    <t>MAXIMUM POSSIBLE SCORES</t>
  </si>
  <si>
    <t>TOTAL MM</t>
  </si>
  <si>
    <t>TOTAL HP</t>
  </si>
  <si>
    <t>TOTAL D</t>
  </si>
  <si>
    <t>TOTAL TEMP</t>
  </si>
  <si>
    <t>TOTAL SL</t>
  </si>
  <si>
    <r>
      <t>View a set of final scores that represent your community's "readiness" to adapt stormwater standards to climate impacts.</t>
    </r>
    <r>
      <rPr>
        <b/>
        <sz val="14"/>
        <color theme="1"/>
        <rFont val="Aptos"/>
        <family val="2"/>
      </rPr>
      <t xml:space="preserve"> </t>
    </r>
    <r>
      <rPr>
        <b/>
        <sz val="14"/>
        <color theme="1"/>
        <rFont val="Aptos Narrow"/>
        <family val="2"/>
      </rPr>
      <t>→</t>
    </r>
  </si>
  <si>
    <t>SCALED READINESS SCORE (OUT OF 10)</t>
  </si>
  <si>
    <t xml:space="preserve"> MODERN MANUAL</t>
  </si>
  <si>
    <t xml:space="preserve"> HIGH PRECIPITATION</t>
  </si>
  <si>
    <t>DROUGHT</t>
  </si>
  <si>
    <t>HIGH TEMPERATURE</t>
  </si>
  <si>
    <t>SEA LEVEL RISE</t>
  </si>
  <si>
    <t>Use the tables below to identify the most relevant categories of recommended improvement to your local or regional stormwater standards.</t>
  </si>
  <si>
    <t>RESULTS SUMMARY</t>
  </si>
  <si>
    <t>RESULTS INTERPRETATION</t>
  </si>
  <si>
    <t>State Vulnerability Ranking</t>
  </si>
  <si>
    <t>Local/Regional Stormwater Standards Review Score (out of 10)</t>
  </si>
  <si>
    <t>Review Category</t>
  </si>
  <si>
    <t>Score Range</t>
  </si>
  <si>
    <t>Interpretation</t>
  </si>
  <si>
    <t>How to Prioritize</t>
  </si>
  <si>
    <r>
      <rPr>
        <b/>
        <sz val="11"/>
        <color theme="1"/>
        <rFont val="Aptos"/>
        <family val="2"/>
      </rPr>
      <t>High Precipitation</t>
    </r>
    <r>
      <rPr>
        <sz val="11"/>
        <color theme="1"/>
        <rFont val="Aptos"/>
        <family val="2"/>
      </rPr>
      <t>: Increased seasonal, annual, or event precipitation</t>
    </r>
  </si>
  <si>
    <r>
      <rPr>
        <b/>
        <sz val="11"/>
        <color theme="1"/>
        <rFont val="Aptos"/>
        <family val="2"/>
      </rPr>
      <t>High Precipitation:</t>
    </r>
    <r>
      <rPr>
        <sz val="11"/>
        <color theme="1"/>
        <rFont val="Aptos"/>
        <family val="2"/>
      </rPr>
      <t xml:space="preserve"> Extent to which standards have been adapted to address increasing precipitation</t>
    </r>
  </si>
  <si>
    <t>0 - 2.5</t>
  </si>
  <si>
    <t>Poor</t>
  </si>
  <si>
    <t>Prioritize changes in Modern Manual category and in climate impact categories where vulnerability ranking is Moderate or High</t>
  </si>
  <si>
    <r>
      <rPr>
        <b/>
        <sz val="11"/>
        <color theme="1"/>
        <rFont val="Aptos"/>
        <family val="2"/>
      </rPr>
      <t>Drought</t>
    </r>
    <r>
      <rPr>
        <sz val="11"/>
        <color theme="1"/>
        <rFont val="Aptos"/>
        <family val="2"/>
      </rPr>
      <t>: Low seasonal or annual precipitation or prolonged drought</t>
    </r>
  </si>
  <si>
    <r>
      <rPr>
        <b/>
        <sz val="11"/>
        <color theme="1"/>
        <rFont val="Aptos"/>
        <family val="2"/>
      </rPr>
      <t>Drought:</t>
    </r>
    <r>
      <rPr>
        <sz val="11"/>
        <color theme="1"/>
        <rFont val="Aptos"/>
        <family val="2"/>
      </rPr>
      <t xml:space="preserve"> Extent to which standards have been adapted to address drought</t>
    </r>
  </si>
  <si>
    <t>2.6 - 5.0</t>
  </si>
  <si>
    <t>Fair</t>
  </si>
  <si>
    <r>
      <rPr>
        <b/>
        <sz val="11"/>
        <color theme="1"/>
        <rFont val="Aptos"/>
        <family val="2"/>
      </rPr>
      <t xml:space="preserve">High Temperature: </t>
    </r>
    <r>
      <rPr>
        <sz val="11"/>
        <color theme="1"/>
        <rFont val="Aptos"/>
        <family val="2"/>
      </rPr>
      <t>Increased annual or seasonal temperature and heat waves</t>
    </r>
  </si>
  <si>
    <r>
      <rPr>
        <b/>
        <sz val="11"/>
        <color theme="1"/>
        <rFont val="Aptos"/>
        <family val="2"/>
      </rPr>
      <t>High Temperature</t>
    </r>
    <r>
      <rPr>
        <sz val="11"/>
        <color theme="1"/>
        <rFont val="Aptos"/>
        <family val="2"/>
      </rPr>
      <t>: extent to which standards have been adapted to address increasing temperatures</t>
    </r>
  </si>
  <si>
    <t>5.1 - 7.5</t>
  </si>
  <si>
    <t>Good</t>
  </si>
  <si>
    <r>
      <rPr>
        <b/>
        <sz val="11"/>
        <color theme="1"/>
        <rFont val="Aptos"/>
        <family val="2"/>
      </rPr>
      <t>Sea Level Rise:</t>
    </r>
    <r>
      <rPr>
        <sz val="11"/>
        <color theme="1"/>
        <rFont val="Aptos"/>
        <family val="2"/>
      </rPr>
      <t xml:space="preserve"> Increased sea level rise and storm surge</t>
    </r>
  </si>
  <si>
    <r>
      <rPr>
        <b/>
        <sz val="11"/>
        <color theme="1"/>
        <rFont val="Aptos"/>
        <family val="2"/>
      </rPr>
      <t>Sea Level Rise:</t>
    </r>
    <r>
      <rPr>
        <sz val="11"/>
        <color theme="1"/>
        <rFont val="Aptos"/>
        <family val="2"/>
      </rPr>
      <t xml:space="preserve"> Extent to which standards have been adapted to address sea level rise</t>
    </r>
  </si>
  <si>
    <t>7.6 - 10.0</t>
  </si>
  <si>
    <t>Excellent</t>
  </si>
  <si>
    <r>
      <rPr>
        <b/>
        <sz val="11"/>
        <color theme="1"/>
        <rFont val="Aptos"/>
        <family val="2"/>
      </rPr>
      <t>Modern Manual:</t>
    </r>
    <r>
      <rPr>
        <sz val="11"/>
        <color theme="1"/>
        <rFont val="Aptos"/>
        <family val="2"/>
      </rPr>
      <t xml:space="preserve"> Extent to which standards are consistent with modern stormwater management principles</t>
    </r>
  </si>
  <si>
    <r>
      <t xml:space="preserve">Select a category in the </t>
    </r>
    <r>
      <rPr>
        <b/>
        <sz val="12"/>
        <color rgb="FF4C721D"/>
        <rFont val="Aptos"/>
        <family val="2"/>
      </rPr>
      <t>GREEN</t>
    </r>
    <r>
      <rPr>
        <b/>
        <sz val="12"/>
        <color theme="1"/>
        <rFont val="Aptos"/>
        <family val="2"/>
      </rPr>
      <t xml:space="preserve"> box below to view recommended improvements. </t>
    </r>
  </si>
  <si>
    <t>Selecting "All" may result in a slightly abbreviated (and prioritized) list in communities with many recommendations.</t>
  </si>
  <si>
    <t>Select Category</t>
  </si>
  <si>
    <t>Question #</t>
  </si>
  <si>
    <t>SELECT ANSWERS</t>
  </si>
  <si>
    <t>QA</t>
  </si>
  <si>
    <t>SCORING: HIGH PERCIPITATION</t>
  </si>
  <si>
    <t>SCORING: TEMPERATURE</t>
  </si>
  <si>
    <t>Yes</t>
  </si>
  <si>
    <t>Atlas 14</t>
  </si>
  <si>
    <t>Atlas 14+ (e.g., using storms defined in Atlas 14 and adding increasing storm depth as a factor of safety)</t>
  </si>
  <si>
    <t>Downscaled or Projected Data</t>
  </si>
  <si>
    <t>Unknown or not Identified</t>
  </si>
  <si>
    <t>Match Post-Developed to Pre-Developed conditions</t>
  </si>
  <si>
    <t>Overcontrol (e.g., reduce peak discharge by 20%)</t>
  </si>
  <si>
    <t>Match Post-Developed with Future storm to Pre-Developed with Current Storm</t>
  </si>
  <si>
    <t>Intensity based on a 24-hour event</t>
  </si>
  <si>
    <t>Intensity is based on a shorter duration (e.g., 1-hour) event</t>
  </si>
  <si>
    <t>Intensity is based on historic storms that have created design issues and use this distribution</t>
  </si>
  <si>
    <t>Not Mentioned</t>
  </si>
  <si>
    <t>Increase the intensity (e.g., increase by 25%) beyond the amount predicted by a "standard" design storm.</t>
  </si>
  <si>
    <t>Use a larger storm (e.g., use a 1.5" instead of 1")</t>
  </si>
  <si>
    <t>Incorporate revised IDF curves based on climate models</t>
  </si>
  <si>
    <t>Provide supplemental freeboard or temporary storage in flow diversion structures to ensure that flashy storms do not bypass treatment practices</t>
  </si>
  <si>
    <t>None</t>
  </si>
  <si>
    <t>Increase the intensity by a factor of safety (e.g., 25%) beyond that predicted by a "standard" design storm.</t>
  </si>
  <si>
    <t>a) Not specified</t>
  </si>
  <si>
    <t>b) &lt;50%</t>
  </si>
  <si>
    <t>c) 50-75%</t>
  </si>
  <si>
    <t>d) &gt;75%</t>
  </si>
  <si>
    <t>a) Not mentioned or disallowed</t>
  </si>
  <si>
    <t>b) Mentioned</t>
  </si>
  <si>
    <t>c) Guidance is provided on how or when to use smart technology</t>
  </si>
  <si>
    <t>Section</t>
  </si>
  <si>
    <t>Modern Manual</t>
  </si>
  <si>
    <t>High Precipitation</t>
  </si>
  <si>
    <t>High Temperature</t>
  </si>
  <si>
    <t>Sea Level Rise</t>
  </si>
  <si>
    <t>Include</t>
  </si>
  <si>
    <t>All</t>
  </si>
  <si>
    <t>Priority</t>
  </si>
  <si>
    <t>Recommendation</t>
  </si>
  <si>
    <t>Section Priority</t>
  </si>
  <si>
    <t>Include1</t>
  </si>
  <si>
    <t>Exclude</t>
  </si>
  <si>
    <t>• Update standards to provide detailed guidance for selecting and designing stormwater BMPs.</t>
  </si>
  <si>
    <t>• Incorporate methods that describe how to size rainwater harvesting systems.</t>
  </si>
  <si>
    <t>• Enhance the existing climate change section to discuss methods of adaptation to climate change.</t>
  </si>
  <si>
    <t>• Update the existing climate change section to include a discussion of sea level rise.</t>
  </si>
  <si>
    <t>TP 40 (pre-Atlas 14)</t>
  </si>
  <si>
    <t>• Update standards to reference recent sources for water quantity storms.</t>
  </si>
  <si>
    <t>• Modify existing water quality sizing to consider downstream ecology and quality.</t>
  </si>
  <si>
    <t>• Consider requiring greater Water Quality storage for larger developments.</t>
  </si>
  <si>
    <t>• Revise water quantity sizing to consider downstream hydrology and historical flooding.</t>
  </si>
  <si>
    <t>• Identify a specific storm or method for quantifying Water Quality or Runoff Reduction storm sizing.</t>
  </si>
  <si>
    <t>• The channel protection criteria should reflect an analysis of downstream channel conditions.</t>
  </si>
  <si>
    <t>• Quantity sizing for flood control should consider the capacity of downstream infrastructure and conveyances.</t>
  </si>
  <si>
    <t>• Standards should include a list of specific stormwater BMPs that are acceptable for meeting regulations.</t>
  </si>
  <si>
    <t>• Require the use of features that minimize impervious cover and protect critical natural areas.</t>
  </si>
  <si>
    <t>• Prohibit or restrict the use of practices such as stormwater ponds, which incorporate a permanent pool of water.</t>
  </si>
  <si>
    <t>• Require Green Infrastructure practices either explicitly or as a means of achieving a goal such as runoff reduction.</t>
  </si>
  <si>
    <t>• Establish a credit for planting or preserving trees.</t>
  </si>
  <si>
    <t>• Consider requiring enhanced Water Quality standards in coastal areas.</t>
  </si>
  <si>
    <t>• Use conservatively estimated or projected data to incorporate climate change into quantity storm sizing.</t>
  </si>
  <si>
    <t>• Consider future floodplain extent when considering limitations on where BMPs can be sited.</t>
  </si>
  <si>
    <t>• Consider providing "overcontrol" of quantity events to account for future climate change.</t>
  </si>
  <si>
    <t>• Provide additional right of way surrounding stormwater BMPs to accommodate large or extreme storms.</t>
  </si>
  <si>
    <t>• Consider increasing the water quality storm depth to capture greater annual runoff volume.</t>
  </si>
  <si>
    <t>• Add a section that discusses climate change and recommends specific adaptation measures.</t>
  </si>
  <si>
    <t>• Review practice inlet design criteria to ensure that practices are resistant to erosion (Question 22).</t>
  </si>
  <si>
    <t>• Incorporate pretreatment into design standards.</t>
  </si>
  <si>
    <t>• Incorporate check valves to prevent backup at outlet pipes.</t>
  </si>
  <si>
    <t>• Incorporate features that allow for future practice modification as climate changes.</t>
  </si>
  <si>
    <t>• Incorporate pumps or other features provide increased head during high tide into the conveyance system.</t>
  </si>
  <si>
    <t>• Include internal water storage as a bioretention design option.</t>
  </si>
  <si>
    <t>• Incorporate supplemental flood storage below ground in highly urbanized settings.</t>
  </si>
  <si>
    <t>• Consider the effects of rising groundwater when siting stormwater BMPs.</t>
  </si>
  <si>
    <t>• Revise stormwater BMP siting standards to incorporate sea level rise and salt water intrusion.</t>
  </si>
  <si>
    <t>• Provide filter media guidance to prevent clogging and ensure permeability.</t>
  </si>
  <si>
    <t>Not mentioned</t>
  </si>
  <si>
    <t>• Revise methods for smaller storms to include a shorter-duration, high intensity storm event.</t>
  </si>
  <si>
    <t>• Consider incorporating biochar into filter media standards</t>
  </si>
  <si>
    <t>• Consider adding polymers designed to retain soil moisture to bioretention specifications.</t>
  </si>
  <si>
    <t>• Select temperature-resistant materials such as polymer-modified binders for permeable pavement.</t>
  </si>
  <si>
    <t>• Identify corrosion-resistant materials.</t>
  </si>
  <si>
    <t>• Develop guidance for reducing the carbon footprint of BMP materials.</t>
  </si>
  <si>
    <t>• Identify a specific hydrologic method for calculations regarding conveyance of the water quality storm to BMPs.</t>
  </si>
  <si>
    <t>• Provide resilience by enhancing conveyance and storage capacity for water quality storms.</t>
  </si>
  <si>
    <t>• Consider conservative methods of sizing flow-based pretreatment, such as requiring a higher design flow rate.</t>
  </si>
  <si>
    <t>• Ensure that conveyance calculations consider that practice volume may be reduced during high tide.</t>
  </si>
  <si>
    <t>• Elevate outfall inverts to the level of the projected high tide.</t>
  </si>
  <si>
    <t>• Consider solar reflection (e.g., incorporating lighter color materials) in BMP materials specifications.</t>
  </si>
  <si>
    <t>• Require maintenance of stormwater BMPs.</t>
  </si>
  <si>
    <t>• Oversize pipes or open channel to account for lost storage from rising sea levels.</t>
  </si>
  <si>
    <t>• Maintenance standards should include inspection checklists based on field observations.</t>
  </si>
  <si>
    <t>• Increase minimum ponding volume above the bioretention filter bed.</t>
  </si>
  <si>
    <t>• Ensure that sufficient irrigation or rainfall is available to establish vegetation in BMPs.</t>
  </si>
  <si>
    <t>• Maintenance guidance should mention specify how to adapt to future climate change.</t>
  </si>
  <si>
    <t>• Consider incorporating Smart BMP Technologies into standards.</t>
  </si>
  <si>
    <t>• Provide specific guidance for incorporating Smart BMP Technologies into standards.</t>
  </si>
  <si>
    <t>• Include options for practice conversion (e.g., from an infiltration practice to a wetland) as climate changes.</t>
  </si>
  <si>
    <t>• Standards should include a landscaping plant list.</t>
  </si>
  <si>
    <t>• The plant list should include plants with a tolerance for "wet feet" and frequent inundation.</t>
  </si>
  <si>
    <t>• Revise standards to incorporate a reserve area or future practice expansion to accommodate sea level rise.</t>
  </si>
  <si>
    <t>• The plant list should include plants resistant to drought and fire.</t>
  </si>
  <si>
    <t>• The plant list should include plants that are salt resistant.</t>
  </si>
  <si>
    <t>• The plant lists should include plants that provide shading and cooling.</t>
  </si>
  <si>
    <t>• Identify quantity design storms by reference (e.g., to the most recent update of NOAA's Atlas 14).</t>
  </si>
  <si>
    <t>• The landscaping section should include suggestions to modify plants based on future climate change.</t>
  </si>
  <si>
    <t>• Enhance quantity sizing standards to consider historic flooding and downstream conditions.</t>
  </si>
  <si>
    <t>• Incorporate projected storms into hydrologic analyses used to set quantity control goals.</t>
  </si>
  <si>
    <t>• Incorporate channel protection sizing into stormwater standards.</t>
  </si>
  <si>
    <t>• Incorporate water quality sizing into stormwater standards.</t>
  </si>
  <si>
    <t>• Incorporate a recharge or runoff reduction volume into stormwater standards.</t>
  </si>
  <si>
    <t>• Establish a numeric goal for rainwater harvesting.</t>
  </si>
  <si>
    <t>• Consider identifying short-duration, high-intensity storm events for water quality sizing.</t>
  </si>
  <si>
    <t>STATE VULNERABILITY</t>
  </si>
  <si>
    <t>VULN_LAND DEVEL</t>
  </si>
  <si>
    <t>VULN_High RAIN</t>
  </si>
  <si>
    <t>VULN_DROUGHT</t>
  </si>
  <si>
    <t>VULN_SEA LVL</t>
  </si>
  <si>
    <t>VULN_TEMP</t>
  </si>
  <si>
    <t>select type of document</t>
  </si>
  <si>
    <t>Yes/No</t>
  </si>
  <si>
    <t>Select Type of Document</t>
  </si>
  <si>
    <t>Alabama</t>
  </si>
  <si>
    <t>High</t>
  </si>
  <si>
    <t>Moderate</t>
  </si>
  <si>
    <t>Low</t>
  </si>
  <si>
    <t>Local Stormwater Guidance Manual</t>
  </si>
  <si>
    <t>Alaska</t>
  </si>
  <si>
    <t>Medium</t>
  </si>
  <si>
    <t>Regional Stormwater Guidance Manual</t>
  </si>
  <si>
    <t>Arizona</t>
  </si>
  <si>
    <t>MS4 Permit</t>
  </si>
  <si>
    <t>Arkansas</t>
  </si>
  <si>
    <t>Stormwater Management Ordinance</t>
  </si>
  <si>
    <t>California</t>
  </si>
  <si>
    <t>Other</t>
  </si>
  <si>
    <t>Colorado</t>
  </si>
  <si>
    <t>Connecticut</t>
  </si>
  <si>
    <t>Delaware</t>
  </si>
  <si>
    <t>District_of_Columbia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</si>
  <si>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</si>
  <si>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</si>
  <si>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</si>
  <si>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</si>
  <si>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</si>
  <si>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</si>
  <si>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</si>
  <si>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</si>
  <si>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</si>
  <si>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</si>
  <si>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</si>
  <si>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</si>
  <si>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</si>
  <si>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</si>
  <si>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</si>
  <si>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</si>
  <si>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</si>
  <si>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</si>
  <si>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</si>
  <si>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</si>
  <si>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New_Hampshire</t>
  </si>
  <si>
    <t>New_Jersey</t>
  </si>
  <si>
    <t>New_Mexico</t>
  </si>
  <si>
    <t>New_York</t>
  </si>
  <si>
    <t>North_Carolina</t>
  </si>
  <si>
    <t>North_Dakota</t>
  </si>
  <si>
    <t>Ohio</t>
  </si>
  <si>
    <t>Oklahoma</t>
  </si>
  <si>
    <t>Oregon</t>
  </si>
  <si>
    <t>Pennsylvania</t>
  </si>
  <si>
    <t>Rhode_Island</t>
  </si>
  <si>
    <t>South_Carolina</t>
  </si>
  <si>
    <t>South_Dakota</t>
  </si>
  <si>
    <t>Tennessee</t>
  </si>
  <si>
    <t>Texas</t>
  </si>
  <si>
    <t>Utah</t>
  </si>
  <si>
    <t>Vermont</t>
  </si>
  <si>
    <t>Virginia</t>
  </si>
  <si>
    <t>Washington</t>
  </si>
  <si>
    <t>West_Virginia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</si>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</sst>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11"/>
      <color theme="1"/>
      <name val="Aptos Narrow"/>
      <family val="2"/>
      <scheme val="minor"/>
    </font>
    <font>
      <sz val="11"/>
      <color theme="1" tint="0.499984740745262"/>
      <name val="Aptos Narrow"/>
      <family val="2"/>
      <scheme val="minor"/>
    </font>
    <font>
      <sz val="11"/>
      <color rgb="FFFF0000"/>
      <name val="Aptos Narrow"/>
      <family val="2"/>
      <scheme val="minor"/>
    </font>
    <font>
      <b/>
      <sz val="10"/>
      <color theme="1"/>
      <name val="Aptos Narrow"/>
      <family val="2"/>
      <scheme val="minor"/>
    </font>
    <font>
      <sz val="10"/>
      <color theme="1"/>
      <name val="Aptos Narrow"/>
      <family val="2"/>
      <scheme val="minor"/>
    </font>
    <font>
      <sz val="11"/>
      <color rgb="FF00B0F0"/>
      <name val="Aptos Narrow"/>
      <family val="2"/>
      <scheme val="minor"/>
    </font>
    <font>
      <sz val="11"/>
      <color theme="6"/>
      <name val="Aptos Narrow"/>
      <family val="2"/>
      <scheme val="minor"/>
    </font>
    <font>
      <sz val="8"/>
      <name val="Aptos Narrow"/>
      <family val="2"/>
      <scheme val="minor"/>
    </font>
    <font>
      <sz val="11"/>
      <color rgb="FF000000"/>
      <name val="Calibri"/>
      <family val="2"/>
    </font>
    <font>
      <sz val="10"/>
      <color rgb="FF000000"/>
      <name val="Aptos Narrow"/>
      <family val="2"/>
      <scheme val="minor"/>
    </font>
    <font>
      <b/>
      <sz val="12"/>
      <color theme="1"/>
      <name val="Aptos Display"/>
      <family val="2"/>
      <scheme val="major"/>
    </font>
    <font>
      <sz val="11"/>
      <color theme="0"/>
      <name val="Aptos Narrow"/>
      <family val="2"/>
      <scheme val="minor"/>
    </font>
    <font>
      <sz val="12"/>
      <color rgb="FF000000"/>
      <name val="Aptos"/>
      <family val="2"/>
    </font>
    <font>
      <b/>
      <sz val="14"/>
      <color rgb="FF0086A1"/>
      <name val="Aptos Narrow"/>
      <family val="2"/>
      <scheme val="minor"/>
    </font>
    <font>
      <b/>
      <sz val="12"/>
      <color rgb="FF000000"/>
      <name val="Aptos"/>
      <family val="2"/>
    </font>
    <font>
      <b/>
      <sz val="24"/>
      <color rgb="FF122961"/>
      <name val="Aptos Narrow"/>
      <family val="2"/>
      <scheme val="minor"/>
    </font>
    <font>
      <sz val="24"/>
      <color theme="1"/>
      <name val="Aptos Narrow"/>
      <family val="2"/>
      <scheme val="minor"/>
    </font>
    <font>
      <sz val="12"/>
      <color theme="1"/>
      <name val="Aptos"/>
      <family val="2"/>
    </font>
    <font>
      <b/>
      <i/>
      <sz val="12"/>
      <color rgb="FF000000"/>
      <name val="Aptos"/>
      <family val="2"/>
    </font>
    <font>
      <b/>
      <sz val="12"/>
      <color theme="1"/>
      <name val="Aptos"/>
      <family val="2"/>
    </font>
    <font>
      <b/>
      <u/>
      <sz val="12"/>
      <color theme="1"/>
      <name val="Aptos"/>
      <family val="2"/>
    </font>
    <font>
      <b/>
      <sz val="12"/>
      <color theme="0"/>
      <name val="Aptos"/>
      <family val="2"/>
    </font>
    <font>
      <sz val="12"/>
      <color theme="0"/>
      <name val="Aptos"/>
      <family val="2"/>
    </font>
    <font>
      <b/>
      <sz val="10"/>
      <color theme="0"/>
      <name val="Aptos"/>
      <family val="2"/>
    </font>
    <font>
      <b/>
      <sz val="12"/>
      <color theme="0"/>
      <name val="Aptos Narrow"/>
      <family val="2"/>
      <scheme val="minor"/>
    </font>
    <font>
      <b/>
      <sz val="14"/>
      <color theme="1"/>
      <name val="Aptos Narrow"/>
      <family val="2"/>
    </font>
    <font>
      <sz val="11"/>
      <color theme="1"/>
      <name val="Aptos"/>
      <family val="2"/>
    </font>
    <font>
      <b/>
      <sz val="14"/>
      <color theme="1"/>
      <name val="Aptos"/>
      <family val="2"/>
    </font>
    <font>
      <u/>
      <sz val="11"/>
      <color theme="10"/>
      <name val="Aptos Narrow"/>
      <family val="2"/>
      <scheme val="minor"/>
    </font>
    <font>
      <u/>
      <sz val="12"/>
      <color theme="10"/>
      <name val="Aptos"/>
      <family val="2"/>
    </font>
    <font>
      <b/>
      <sz val="12"/>
      <color rgb="FF4C721D"/>
      <name val="Aptos"/>
      <family val="2"/>
    </font>
    <font>
      <b/>
      <sz val="12"/>
      <color rgb="FF122961"/>
      <name val="Aptos"/>
      <family val="2"/>
    </font>
    <font>
      <b/>
      <sz val="11"/>
      <color theme="1"/>
      <name val="Aptos"/>
      <family val="2"/>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86A1"/>
        <bgColor indexed="64"/>
      </patternFill>
    </fill>
    <fill>
      <patternFill patternType="solid">
        <fgColor rgb="FF4C721D"/>
        <bgColor indexed="64"/>
      </patternFill>
    </fill>
    <fill>
      <patternFill patternType="solid">
        <fgColor theme="0"/>
        <bgColor indexed="64"/>
      </patternFill>
    </fill>
    <fill>
      <patternFill patternType="solid">
        <fgColor rgb="FF122961"/>
        <bgColor indexed="64"/>
      </patternFill>
    </fill>
    <fill>
      <patternFill patternType="solid">
        <fgColor rgb="FFFF0000"/>
        <bgColor indexed="64"/>
      </patternFill>
    </fill>
    <fill>
      <patternFill patternType="solid">
        <fgColor rgb="FFFFAA00"/>
        <bgColor indexed="64"/>
      </patternFill>
    </fill>
    <fill>
      <patternFill patternType="solid">
        <fgColor rgb="FF55FF00"/>
        <bgColor indexed="64"/>
      </patternFill>
    </fill>
  </fills>
  <borders count="43">
    <border>
      <left/>
      <right/>
      <top/>
      <bottom/>
      <diagonal/>
    </border>
    <border>
      <left style="thin">
        <color rgb="FF70AD47"/>
      </left>
      <right style="thin">
        <color rgb="FF70AD47"/>
      </right>
      <top style="thin">
        <color rgb="FF70AD47"/>
      </top>
      <bottom style="thin">
        <color rgb="FF70AD4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4"/>
      </left>
      <right/>
      <top style="thin">
        <color theme="4"/>
      </top>
      <bottom/>
      <diagonal/>
    </border>
    <border>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4"/>
      </right>
      <top style="thin">
        <color theme="4"/>
      </top>
      <bottom/>
      <diagonal/>
    </border>
    <border>
      <left/>
      <right style="thin">
        <color theme="4"/>
      </right>
      <top/>
      <bottom/>
      <diagonal/>
    </border>
    <border>
      <left/>
      <right/>
      <top/>
      <bottom style="thick">
        <color rgb="FF0086A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9" fillId="0" borderId="0" applyNumberFormat="0" applyFill="0" applyBorder="0" applyAlignment="0" applyProtection="0"/>
  </cellStyleXfs>
  <cellXfs count="195">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1" fillId="0" borderId="0" xfId="0" applyFont="1"/>
    <xf numFmtId="0" fontId="6" fillId="0" borderId="0" xfId="0" applyFont="1"/>
    <xf numFmtId="0" fontId="4" fillId="0" borderId="0" xfId="0" applyFont="1" applyAlignment="1">
      <alignment horizontal="center" vertical="center" wrapText="1"/>
    </xf>
    <xf numFmtId="0" fontId="9" fillId="0" borderId="1" xfId="0" applyFont="1" applyBorder="1"/>
    <xf numFmtId="0" fontId="7" fillId="0" borderId="0" xfId="0" applyFont="1" applyAlignment="1">
      <alignment wrapText="1"/>
    </xf>
    <xf numFmtId="0" fontId="3" fillId="0" borderId="0" xfId="0" applyFont="1" applyAlignment="1">
      <alignment wrapText="1"/>
    </xf>
    <xf numFmtId="0" fontId="6" fillId="0" borderId="0" xfId="0" applyFont="1" applyAlignment="1">
      <alignment wrapText="1"/>
    </xf>
    <xf numFmtId="49" fontId="0" fillId="0" borderId="0" xfId="0" applyNumberFormat="1"/>
    <xf numFmtId="0" fontId="0" fillId="0" borderId="0" xfId="0" applyAlignment="1">
      <alignment horizontal="left"/>
    </xf>
    <xf numFmtId="0" fontId="5" fillId="0" borderId="0" xfId="0" applyFont="1" applyAlignment="1">
      <alignment horizontal="left" vertical="center"/>
    </xf>
    <xf numFmtId="0" fontId="1" fillId="0" borderId="0" xfId="0" applyFont="1" applyAlignment="1">
      <alignment horizontal="center" vertical="center" wrapText="1"/>
    </xf>
    <xf numFmtId="0" fontId="0" fillId="0" borderId="8" xfId="0" applyBorder="1"/>
    <xf numFmtId="0" fontId="0" fillId="0" borderId="9" xfId="0" applyBorder="1"/>
    <xf numFmtId="0" fontId="0" fillId="0" borderId="0" xfId="0" applyAlignment="1">
      <alignment horizontal="left" wrapText="1"/>
    </xf>
    <xf numFmtId="0" fontId="1" fillId="0" borderId="0" xfId="0" applyFont="1" applyAlignment="1">
      <alignment horizontal="left" wrapText="1"/>
    </xf>
    <xf numFmtId="0" fontId="0" fillId="0" borderId="12" xfId="0" applyBorder="1"/>
    <xf numFmtId="0" fontId="0" fillId="0" borderId="9" xfId="0" applyBorder="1" applyAlignment="1">
      <alignment wrapText="1"/>
    </xf>
    <xf numFmtId="0" fontId="7" fillId="0" borderId="9" xfId="0" applyFont="1" applyBorder="1" applyAlignment="1">
      <alignment wrapText="1"/>
    </xf>
    <xf numFmtId="0" fontId="3" fillId="0" borderId="9" xfId="0" applyFont="1" applyBorder="1" applyAlignment="1">
      <alignment wrapText="1"/>
    </xf>
    <xf numFmtId="0" fontId="6" fillId="0" borderId="12" xfId="0" applyFont="1" applyBorder="1" applyAlignment="1">
      <alignment wrapText="1"/>
    </xf>
    <xf numFmtId="0" fontId="7" fillId="0" borderId="9" xfId="0" applyFont="1" applyBorder="1"/>
    <xf numFmtId="0" fontId="3" fillId="0" borderId="9" xfId="0" applyFont="1" applyBorder="1"/>
    <xf numFmtId="0" fontId="6" fillId="0" borderId="12" xfId="0" applyFont="1" applyBorder="1"/>
    <xf numFmtId="0" fontId="6" fillId="0" borderId="13" xfId="0" applyFont="1" applyBorder="1" applyAlignment="1">
      <alignment wrapText="1"/>
    </xf>
    <xf numFmtId="0" fontId="0" fillId="0" borderId="8" xfId="0" applyBorder="1" applyAlignment="1">
      <alignment wrapText="1"/>
    </xf>
    <xf numFmtId="0" fontId="13" fillId="0" borderId="0" xfId="0" applyFont="1"/>
    <xf numFmtId="0" fontId="0" fillId="0" borderId="14" xfId="0" applyBorder="1" applyAlignment="1">
      <alignment wrapText="1"/>
    </xf>
    <xf numFmtId="0" fontId="0" fillId="0" borderId="14" xfId="0" applyBorder="1"/>
    <xf numFmtId="0" fontId="14" fillId="0" borderId="0" xfId="0" applyFont="1"/>
    <xf numFmtId="0" fontId="0" fillId="0" borderId="0" xfId="0" applyAlignment="1">
      <alignment horizontal="justify" vertical="center"/>
    </xf>
    <xf numFmtId="0" fontId="18" fillId="0" borderId="0" xfId="0" applyFont="1" applyAlignment="1">
      <alignment wrapText="1"/>
    </xf>
    <xf numFmtId="0" fontId="18" fillId="0" borderId="0" xfId="0" applyFont="1"/>
    <xf numFmtId="0" fontId="14" fillId="3" borderId="0" xfId="0" applyFont="1" applyFill="1"/>
    <xf numFmtId="0" fontId="0" fillId="3" borderId="0" xfId="0" applyFill="1"/>
    <xf numFmtId="0" fontId="18" fillId="3" borderId="0" xfId="0" applyFont="1" applyFill="1"/>
    <xf numFmtId="0" fontId="11" fillId="0" borderId="0" xfId="0" applyFont="1" applyAlignment="1">
      <alignment horizontal="center" vertical="center"/>
    </xf>
    <xf numFmtId="0" fontId="18" fillId="0" borderId="0" xfId="0" applyFont="1" applyAlignment="1">
      <alignment horizontal="left" wrapText="1"/>
    </xf>
    <xf numFmtId="0" fontId="18" fillId="3" borderId="5" xfId="0" applyFont="1" applyFill="1" applyBorder="1" applyAlignment="1">
      <alignment vertical="center" wrapText="1"/>
    </xf>
    <xf numFmtId="0" fontId="18" fillId="0" borderId="0" xfId="0" applyFont="1" applyAlignment="1">
      <alignment horizontal="left"/>
    </xf>
    <xf numFmtId="0" fontId="18" fillId="3" borderId="5" xfId="0" applyFont="1" applyFill="1" applyBorder="1" applyAlignment="1">
      <alignment wrapText="1"/>
    </xf>
    <xf numFmtId="0" fontId="22" fillId="4" borderId="10" xfId="0" applyFont="1" applyFill="1" applyBorder="1" applyAlignment="1">
      <alignment horizontal="center" vertical="center" wrapText="1"/>
    </xf>
    <xf numFmtId="0" fontId="5" fillId="0" borderId="10" xfId="0" applyFont="1" applyBorder="1" applyAlignment="1">
      <alignment horizontal="left" vertical="center"/>
    </xf>
    <xf numFmtId="0" fontId="4" fillId="0" borderId="10" xfId="0" applyFont="1" applyBorder="1" applyAlignment="1">
      <alignment horizontal="left" vertical="center" wrapText="1"/>
    </xf>
    <xf numFmtId="0" fontId="5" fillId="3" borderId="10" xfId="0" applyFont="1" applyFill="1" applyBorder="1" applyAlignment="1">
      <alignment horizontal="left" vertical="center"/>
    </xf>
    <xf numFmtId="0" fontId="4" fillId="3" borderId="10" xfId="0" applyFont="1" applyFill="1" applyBorder="1" applyAlignment="1">
      <alignment horizontal="left" vertical="center" wrapText="1"/>
    </xf>
    <xf numFmtId="0" fontId="5" fillId="6" borderId="10" xfId="0" applyFont="1" applyFill="1" applyBorder="1" applyAlignment="1">
      <alignment horizontal="right" wrapText="1"/>
    </xf>
    <xf numFmtId="0" fontId="12" fillId="5" borderId="10" xfId="0" applyFont="1" applyFill="1" applyBorder="1" applyAlignment="1" applyProtection="1">
      <alignment horizontal="center" vertical="center" wrapText="1"/>
      <protection locked="0"/>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0" fillId="0" borderId="10" xfId="0" applyFont="1" applyBorder="1" applyAlignment="1">
      <alignment horizontal="right" wrapText="1"/>
    </xf>
    <xf numFmtId="0" fontId="10" fillId="3" borderId="10" xfId="0" applyFont="1" applyFill="1" applyBorder="1" applyAlignment="1">
      <alignment horizontal="right" wrapText="1"/>
    </xf>
    <xf numFmtId="0" fontId="5" fillId="0" borderId="10" xfId="0" applyFont="1" applyBorder="1" applyAlignment="1">
      <alignment horizontal="right" wrapText="1"/>
    </xf>
    <xf numFmtId="0" fontId="5" fillId="3" borderId="10" xfId="0" applyFont="1" applyFill="1" applyBorder="1" applyAlignment="1">
      <alignment horizontal="right" wrapText="1"/>
    </xf>
    <xf numFmtId="0" fontId="20" fillId="0" borderId="0" xfId="0" applyFont="1" applyAlignment="1">
      <alignment horizontal="left" vertical="center"/>
    </xf>
    <xf numFmtId="0" fontId="22" fillId="7"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2" fontId="27" fillId="0" borderId="5" xfId="0" applyNumberFormat="1"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0" fillId="0" borderId="0" xfId="0" applyFont="1"/>
    <xf numFmtId="0" fontId="0" fillId="0" borderId="0" xfId="0" applyAlignment="1">
      <alignment vertical="center"/>
    </xf>
    <xf numFmtId="0" fontId="9" fillId="0" borderId="0" xfId="0" applyFont="1"/>
    <xf numFmtId="0" fontId="23" fillId="5" borderId="28" xfId="0" applyFont="1" applyFill="1" applyBorder="1" applyAlignment="1" applyProtection="1">
      <alignment horizontal="center" vertical="center"/>
      <protection locked="0"/>
    </xf>
    <xf numFmtId="0" fontId="0" fillId="0" borderId="0" xfId="0" applyProtection="1">
      <protection locked="0"/>
    </xf>
    <xf numFmtId="0" fontId="0" fillId="0" borderId="13" xfId="0" applyBorder="1"/>
    <xf numFmtId="0" fontId="7" fillId="0" borderId="0" xfId="0" applyFont="1"/>
    <xf numFmtId="0" fontId="6" fillId="0" borderId="9" xfId="0" applyFont="1" applyBorder="1" applyAlignment="1">
      <alignment wrapText="1"/>
    </xf>
    <xf numFmtId="0" fontId="9" fillId="0" borderId="9" xfId="0" applyFont="1" applyBorder="1"/>
    <xf numFmtId="0" fontId="0" fillId="0" borderId="0" xfId="0" applyAlignment="1">
      <alignment horizontal="left" vertical="top" wrapText="1"/>
    </xf>
    <xf numFmtId="0" fontId="3" fillId="0" borderId="0" xfId="0" applyFont="1"/>
    <xf numFmtId="0" fontId="0" fillId="0" borderId="1" xfId="0" applyBorder="1"/>
    <xf numFmtId="0" fontId="22" fillId="7" borderId="2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22" fillId="7" borderId="0" xfId="0" applyFont="1" applyFill="1" applyAlignment="1">
      <alignment horizontal="center" vertical="center" wrapText="1"/>
    </xf>
    <xf numFmtId="0" fontId="22" fillId="0" borderId="0" xfId="0" applyFont="1" applyAlignment="1">
      <alignment horizontal="center" vertical="center" wrapText="1"/>
    </xf>
    <xf numFmtId="2" fontId="18" fillId="0" borderId="0" xfId="0" applyNumberFormat="1" applyFont="1" applyAlignment="1">
      <alignment horizontal="center" vertical="center"/>
    </xf>
    <xf numFmtId="0" fontId="18" fillId="0" borderId="5" xfId="0" applyFont="1" applyBorder="1" applyAlignment="1">
      <alignment horizontal="center" vertical="center" wrapText="1"/>
    </xf>
    <xf numFmtId="17" fontId="32" fillId="0" borderId="0" xfId="0" applyNumberFormat="1" applyFont="1"/>
    <xf numFmtId="0" fontId="27" fillId="3" borderId="27" xfId="0" applyFont="1" applyFill="1" applyBorder="1" applyAlignment="1">
      <alignment horizontal="left" vertical="center" wrapText="1"/>
    </xf>
    <xf numFmtId="0" fontId="27" fillId="0" borderId="25" xfId="0" applyFont="1" applyBorder="1" applyAlignment="1">
      <alignment horizontal="center" vertical="center" wrapText="1"/>
    </xf>
    <xf numFmtId="2" fontId="27" fillId="0" borderId="27" xfId="0" applyNumberFormat="1" applyFont="1" applyBorder="1" applyAlignment="1">
      <alignment horizontal="center" vertical="center"/>
    </xf>
    <xf numFmtId="2" fontId="27" fillId="3" borderId="5" xfId="0" applyNumberFormat="1"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0" borderId="2" xfId="0" applyFont="1" applyBorder="1" applyAlignment="1">
      <alignment horizontal="center" vertical="center" wrapText="1"/>
    </xf>
    <xf numFmtId="2" fontId="27" fillId="0" borderId="5" xfId="0" applyNumberFormat="1" applyFont="1" applyBorder="1" applyAlignment="1">
      <alignment horizontal="center" vertical="center"/>
    </xf>
    <xf numFmtId="0" fontId="27" fillId="3" borderId="26" xfId="0" applyFont="1" applyFill="1" applyBorder="1" applyAlignment="1">
      <alignment horizontal="left" vertical="center" wrapText="1"/>
    </xf>
    <xf numFmtId="0" fontId="27" fillId="0" borderId="22" xfId="0" applyFont="1" applyBorder="1" applyAlignment="1">
      <alignment horizontal="center" vertical="center" wrapText="1"/>
    </xf>
    <xf numFmtId="0" fontId="27" fillId="0" borderId="5" xfId="0" applyFont="1" applyBorder="1" applyAlignment="1">
      <alignment horizontal="center" vertical="center" wrapText="1"/>
    </xf>
    <xf numFmtId="2" fontId="27" fillId="0" borderId="24" xfId="0" applyNumberFormat="1" applyFont="1" applyBorder="1" applyAlignment="1">
      <alignment horizontal="center" vertical="center"/>
    </xf>
    <xf numFmtId="0" fontId="33" fillId="0" borderId="0" xfId="0" applyFont="1" applyAlignment="1">
      <alignment horizontal="left" vertical="center" wrapText="1"/>
    </xf>
    <xf numFmtId="0" fontId="27" fillId="0" borderId="0" xfId="0" applyFont="1" applyAlignment="1">
      <alignment horizontal="center" wrapText="1"/>
    </xf>
    <xf numFmtId="2" fontId="27" fillId="3" borderId="4" xfId="0" applyNumberFormat="1" applyFont="1" applyFill="1" applyBorder="1" applyAlignment="1">
      <alignment horizontal="left" vertical="center" wrapText="1"/>
    </xf>
    <xf numFmtId="0" fontId="18" fillId="8" borderId="5" xfId="0" applyFont="1" applyFill="1" applyBorder="1" applyAlignment="1">
      <alignment horizontal="center" vertical="center"/>
    </xf>
    <xf numFmtId="0" fontId="18" fillId="3" borderId="5" xfId="0" applyFont="1" applyFill="1" applyBorder="1" applyAlignment="1">
      <alignment horizontal="center" vertical="center"/>
    </xf>
    <xf numFmtId="0" fontId="18" fillId="9" borderId="5"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10" borderId="5" xfId="0" applyFont="1"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0" fillId="0" borderId="0" xfId="1" applyFont="1" applyAlignment="1" applyProtection="1">
      <protection locked="0"/>
    </xf>
    <xf numFmtId="0" fontId="0" fillId="0" borderId="0" xfId="0" applyProtection="1">
      <protection locked="0"/>
    </xf>
    <xf numFmtId="0" fontId="16" fillId="0" borderId="0" xfId="0" applyFont="1" applyAlignment="1">
      <alignment horizontal="center"/>
    </xf>
    <xf numFmtId="0" fontId="17" fillId="0" borderId="0" xfId="0" applyFont="1" applyAlignment="1">
      <alignment horizontal="center"/>
    </xf>
    <xf numFmtId="0" fontId="13" fillId="0" borderId="0" xfId="0" applyFont="1" applyAlignment="1">
      <alignment horizontal="justify" vertical="center" wrapText="1"/>
    </xf>
    <xf numFmtId="0" fontId="0" fillId="0" borderId="0" xfId="0" applyAlignment="1">
      <alignment horizontal="justify" vertical="center"/>
    </xf>
    <xf numFmtId="0" fontId="13" fillId="3" borderId="0" xfId="0" applyFont="1" applyFill="1"/>
    <xf numFmtId="0" fontId="0" fillId="3" borderId="0" xfId="0" applyFill="1"/>
    <xf numFmtId="0" fontId="13" fillId="0" borderId="0" xfId="0" applyFont="1" applyAlignment="1">
      <alignment wrapText="1"/>
    </xf>
    <xf numFmtId="0" fontId="0" fillId="0" borderId="0" xfId="0" applyAlignment="1">
      <alignment wrapText="1"/>
    </xf>
    <xf numFmtId="0" fontId="13" fillId="3" borderId="0" xfId="0" applyFont="1" applyFill="1" applyAlignment="1">
      <alignment wrapText="1"/>
    </xf>
    <xf numFmtId="0" fontId="0" fillId="3" borderId="0" xfId="0" applyFill="1" applyAlignment="1">
      <alignment wrapText="1"/>
    </xf>
    <xf numFmtId="0" fontId="18" fillId="0" borderId="0" xfId="0" applyFont="1" applyAlignment="1">
      <alignment wrapText="1"/>
    </xf>
    <xf numFmtId="14" fontId="23" fillId="5" borderId="2"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22"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wrapText="1"/>
    </xf>
    <xf numFmtId="0" fontId="22" fillId="4" borderId="5" xfId="0"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wrapText="1"/>
    </xf>
    <xf numFmtId="0" fontId="0" fillId="0" borderId="0" xfId="0" applyAlignment="1">
      <alignment horizontal="center" vertical="center"/>
    </xf>
    <xf numFmtId="0" fontId="20" fillId="0" borderId="0" xfId="0" applyFont="1" applyAlignment="1">
      <alignment horizontal="left" vertical="top"/>
    </xf>
    <xf numFmtId="0" fontId="27" fillId="0" borderId="0" xfId="0" applyFont="1" applyAlignment="1">
      <alignment horizontal="left" vertical="top"/>
    </xf>
    <xf numFmtId="0" fontId="20" fillId="0" borderId="0" xfId="0" applyFont="1" applyAlignment="1">
      <alignment wrapText="1"/>
    </xf>
    <xf numFmtId="0" fontId="20" fillId="0" borderId="0" xfId="0" applyFont="1"/>
    <xf numFmtId="0" fontId="18" fillId="0" borderId="30"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23" fillId="5" borderId="2" xfId="0" applyFont="1" applyFill="1" applyBorder="1" applyAlignment="1" applyProtection="1">
      <alignment horizontal="left" wrapText="1"/>
      <protection locked="0"/>
    </xf>
    <xf numFmtId="0" fontId="0" fillId="0" borderId="4" xfId="0" applyBorder="1" applyProtection="1">
      <protection locked="0"/>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0" fillId="0" borderId="4" xfId="0" applyBorder="1"/>
    <xf numFmtId="0" fontId="23"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30" fillId="0" borderId="34" xfId="1" applyFont="1" applyBorder="1" applyAlignment="1" applyProtection="1">
      <alignment horizontal="left" vertical="center" wrapText="1"/>
      <protection locked="0"/>
    </xf>
    <xf numFmtId="0" fontId="30" fillId="0" borderId="35" xfId="1" applyFont="1" applyBorder="1" applyAlignment="1" applyProtection="1">
      <alignment vertical="center"/>
      <protection locked="0"/>
    </xf>
    <xf numFmtId="0" fontId="30" fillId="0" borderId="36" xfId="1" applyFont="1" applyBorder="1" applyAlignment="1" applyProtection="1">
      <alignment vertical="center"/>
      <protection locked="0"/>
    </xf>
    <xf numFmtId="0" fontId="0" fillId="0" borderId="0" xfId="0" applyAlignment="1">
      <alignment horizontal="center" vertical="center" wrapText="1"/>
    </xf>
    <xf numFmtId="0" fontId="4" fillId="0" borderId="10" xfId="0" applyFont="1" applyBorder="1" applyAlignment="1">
      <alignment horizontal="left" vertical="center" wrapText="1"/>
    </xf>
    <xf numFmtId="0" fontId="4" fillId="3" borderId="10" xfId="0" applyFont="1" applyFill="1" applyBorder="1" applyAlignment="1">
      <alignment horizontal="left" vertical="center" wrapText="1"/>
    </xf>
    <xf numFmtId="0" fontId="22" fillId="4" borderId="22"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5" fillId="7" borderId="10" xfId="0" applyFont="1" applyFill="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3" borderId="37" xfId="0"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37" xfId="0" applyFont="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3" borderId="40" xfId="0" applyFill="1" applyBorder="1" applyAlignment="1">
      <alignment horizontal="center" vertical="center"/>
    </xf>
    <xf numFmtId="0" fontId="20" fillId="0" borderId="0" xfId="0" applyFont="1" applyAlignment="1">
      <alignment horizontal="left" vertical="center" wrapText="1"/>
    </xf>
    <xf numFmtId="0" fontId="25" fillId="7" borderId="39" xfId="0" applyFont="1" applyFill="1" applyBorder="1" applyAlignment="1">
      <alignment horizontal="left" vertical="center"/>
    </xf>
    <xf numFmtId="0" fontId="22" fillId="4" borderId="10" xfId="0" applyFont="1" applyFill="1" applyBorder="1" applyAlignment="1">
      <alignment horizontal="center" vertical="center"/>
    </xf>
    <xf numFmtId="0" fontId="0" fillId="7" borderId="40" xfId="0" applyFill="1" applyBorder="1" applyAlignment="1">
      <alignment horizontal="center" vertical="center"/>
    </xf>
    <xf numFmtId="0" fontId="4" fillId="7" borderId="40" xfId="0" applyFont="1" applyFill="1" applyBorder="1" applyAlignment="1">
      <alignment horizontal="center" vertical="center" wrapText="1"/>
    </xf>
    <xf numFmtId="0" fontId="0" fillId="0" borderId="41" xfId="0" applyBorder="1" applyAlignment="1">
      <alignment horizontal="center" wrapText="1"/>
    </xf>
    <xf numFmtId="0" fontId="0" fillId="0" borderId="42" xfId="0" applyBorder="1" applyAlignment="1">
      <alignment horizontal="center" wrapText="1"/>
    </xf>
    <xf numFmtId="0" fontId="25" fillId="7" borderId="29"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33" xfId="0" applyFont="1" applyFill="1" applyBorder="1" applyAlignment="1">
      <alignment horizontal="left" vertical="top" wrapText="1"/>
    </xf>
    <xf numFmtId="0" fontId="0" fillId="0" borderId="29"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22" fillId="4" borderId="5" xfId="0" applyFont="1" applyFill="1" applyBorder="1" applyAlignment="1">
      <alignment horizontal="center" vertical="center"/>
    </xf>
    <xf numFmtId="0" fontId="0" fillId="0" borderId="5" xfId="0" applyBorder="1"/>
    <xf numFmtId="0" fontId="18" fillId="3" borderId="5" xfId="0" applyFont="1" applyFill="1" applyBorder="1" applyAlignment="1">
      <alignment vertical="center" wrapText="1"/>
    </xf>
    <xf numFmtId="0" fontId="0" fillId="0" borderId="5" xfId="0" applyBorder="1" applyAlignment="1">
      <alignment vertical="center"/>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25" fillId="7" borderId="32" xfId="0" applyFont="1" applyFill="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Hyperlink" xfId="1" builtinId="8"/>
    <cellStyle name="Normal" xfId="0" builtinId="0"/>
  </cellStyles>
  <dxfs count="28">
    <dxf>
      <fill>
        <patternFill>
          <bgColor rgb="FFFF0000"/>
        </patternFill>
      </fill>
    </dxf>
    <dxf>
      <fill>
        <patternFill>
          <bgColor rgb="FFFFAA00"/>
        </patternFill>
      </fill>
    </dxf>
    <dxf>
      <fill>
        <patternFill>
          <bgColor rgb="FFFFFF00"/>
        </patternFill>
      </fill>
    </dxf>
    <dxf>
      <fill>
        <patternFill>
          <bgColor rgb="FF55FF00"/>
        </patternFill>
      </fill>
    </dxf>
    <dxf>
      <fill>
        <patternFill>
          <bgColor rgb="FFE8E8E8"/>
        </patternFill>
      </fill>
    </dxf>
    <dxf>
      <fill>
        <patternFill>
          <bgColor rgb="FFB5C0DA"/>
        </patternFill>
      </fill>
    </dxf>
    <dxf>
      <fill>
        <patternFill>
          <bgColor rgb="FF6C83B5"/>
        </patternFill>
      </fill>
    </dxf>
    <dxf>
      <fill>
        <patternFill>
          <bgColor theme="0" tint="-0.14996795556505021"/>
        </patternFill>
      </fill>
    </dxf>
    <dxf>
      <fill>
        <patternFill>
          <bgColor rgb="FFFF0000"/>
        </patternFill>
      </fill>
    </dxf>
    <dxf>
      <fill>
        <patternFill>
          <bgColor rgb="FFFFAA00"/>
        </patternFill>
      </fill>
    </dxf>
    <dxf>
      <fill>
        <patternFill>
          <bgColor rgb="FFFFFF00"/>
        </patternFill>
      </fill>
    </dxf>
    <dxf>
      <fill>
        <patternFill>
          <bgColor rgb="FF55FF00"/>
        </patternFill>
      </fill>
    </dxf>
    <dxf>
      <fill>
        <patternFill>
          <bgColor rgb="FFE8E8E8"/>
        </patternFill>
      </fill>
    </dxf>
    <dxf>
      <fill>
        <patternFill>
          <bgColor rgb="FFB5C0DA"/>
        </patternFill>
      </fill>
    </dxf>
    <dxf>
      <fill>
        <patternFill>
          <bgColor rgb="FF6C83B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0086A1"/>
      <color rgb="FF122961"/>
      <color rgb="FF6C83B5"/>
      <color rgb="FFB5C0DA"/>
      <color rgb="FFE8E8E8"/>
      <color rgb="FF55FF00"/>
      <color rgb="FFFFFF00"/>
      <color rgb="FFFFAA00"/>
      <color rgb="FFFF0000"/>
      <color rgb="FFFFF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101600</xdr:colOff>
      <xdr:row>0</xdr:row>
      <xdr:rowOff>317500</xdr:rowOff>
    </xdr:from>
    <xdr:to>
      <xdr:col>18</xdr:col>
      <xdr:colOff>549208</xdr:colOff>
      <xdr:row>1</xdr:row>
      <xdr:rowOff>781686</xdr:rowOff>
    </xdr:to>
    <xdr:pic>
      <xdr:nvPicPr>
        <xdr:cNvPr id="5" name="Picture 4">
          <a:extLst>
            <a:ext uri="{FF2B5EF4-FFF2-40B4-BE49-F238E27FC236}">
              <a16:creationId xmlns:a16="http://schemas.microsoft.com/office/drawing/2014/main" id="{AB147091-9C6D-4522-9307-B878F9DBF0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8350" y="317500"/>
          <a:ext cx="2264978" cy="8763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eb Caraco" id="{5E961E13-8209-4AAD-9DDE-038462B0B690}" userId="dsc@cwp.org" providerId="PeoplePicker"/>
  <person displayName="Sami Khan" id="{B32A9D50-3F31-4070-8985-5B4E9E66126F}" userId="stk@cwp.org" providerId="PeoplePicker"/>
  <person displayName="Deb Caraco" id="{EE1E96C9-5A57-444C-92CA-5D084FC355AA}" userId="S::dsc@cwp.org::03af517c-4394-4c0d-9584-cc115124ccb1" providerId="AD"/>
  <person displayName="Paige Buzard" id="{65BBF096-AF09-4DFA-A405-AC823ABD7264}" userId="S::prb@cwp.org::2aaf6155-52ca-4e50-bc01-9c4d945a8e08" providerId="AD"/>
  <person displayName="Sami Khan" id="{FA4CC8D5-4999-47BD-A2BF-717A93CBB87C}" userId="S::stk@cwp.org::6b291be3-ce7c-4efe-8cd3-a1fb9918522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8668C3-0F80-4A39-8B68-974CC9F01ED8}" name="Table5" displayName="Table5" ref="A3:I115" totalsRowShown="0">
  <autoFilter ref="A3:I115" xr:uid="{D78668C3-0F80-4A39-8B68-974CC9F01ED8}"/>
  <tableColumns count="9">
    <tableColumn id="1" xr3:uid="{70B5B8B5-121E-4D5E-8BDC-8071987EA8CC}" name="Question #"/>
    <tableColumn id="2" xr3:uid="{A65A9F2F-56A7-457A-B8F7-91C9BF21415C}" name="STORMWATER MANAGEMENT QUESTIONS" dataDxfId="27">
      <calculatedColumnFormula>VLOOKUP(A4,'3. Answer Assessment Questions'!A$1:D$109,4,FALSE)</calculatedColumnFormula>
    </tableColumn>
    <tableColumn id="3" xr3:uid="{9E9CF310-598B-44D1-B86A-CF4D7E4D34BD}" name="SELECT ANSWERS"/>
    <tableColumn id="4" xr3:uid="{14898535-E789-42DF-8D3D-8BA51DF65A59}" name="QA" dataDxfId="26">
      <calculatedColumnFormula>Table5[[#This Row],[Question '#]]&amp;Table5[[#This Row],[STORMWATER MANAGEMENT QUESTIONS]]&amp;Table5[[#This Row],[SELECT ANSWERS]]</calculatedColumnFormula>
    </tableColumn>
    <tableColumn id="5" xr3:uid="{50AF74BF-94B7-4605-BF4E-482628D92F9D}" name="SCORING: MODERN MANUAL"/>
    <tableColumn id="6" xr3:uid="{9B514EE2-5542-43A3-90CE-9C93EE1480A3}" name="SCORING: HIGH PERCIPITATION"/>
    <tableColumn id="7" xr3:uid="{D65849C5-F437-46BA-9544-C0497B9843C6}" name="SCORING: DROUGHT"/>
    <tableColumn id="8" xr3:uid="{C05AEAFC-2D95-4B1A-86EB-12FD068B493D}" name="SCORING: TEMPERATURE"/>
    <tableColumn id="9" xr3:uid="{A5D8B043-C6DA-4124-A2A6-91AC672F259F}" name="SCORING: SEA LEVEL RIS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FDDD05-B27E-4E25-AF39-7A6062AB78B6}" name="Recommendations" displayName="Recommendations" ref="A3:Q88" totalsRowShown="0">
  <autoFilter ref="A3:Q88" xr:uid="{D78668C3-0F80-4A39-8B68-974CC9F01ED8}"/>
  <tableColumns count="17">
    <tableColumn id="1" xr3:uid="{C0A7348A-DE37-4638-A0D3-140C7916E0A2}" name="Question #"/>
    <tableColumn id="2" xr3:uid="{B4C4C11A-1506-40C3-974F-FDCC0DBE7773}" name="STORMWATER MANAGEMENT QUESTIONS" dataDxfId="25">
      <calculatedColumnFormula>VLOOKUP(A4,'3. Answer Assessment Questions'!A$1:D$109,4,FALSE)</calculatedColumnFormula>
    </tableColumn>
    <tableColumn id="3" xr3:uid="{C14FAB0C-BD51-4584-88AF-1AFE9F42D751}" name="SELECT ANSWERS"/>
    <tableColumn id="4" xr3:uid="{EE949112-3D08-4913-A13E-4DF08E40D88A}" name="QA" dataDxfId="24">
      <calculatedColumnFormula>Recommendations[[#This Row],[Question '#]]&amp;Recommendations[[#This Row],[STORMWATER MANAGEMENT QUESTIONS]]&amp;Recommendations[[#This Row],[SELECT ANSWERS]]</calculatedColumnFormula>
    </tableColumn>
    <tableColumn id="14" xr3:uid="{C51B77D9-9C19-419F-A087-32B85A39680D}" name="Section"/>
    <tableColumn id="5" xr3:uid="{27D3BF8D-CB3E-4F01-BF83-38002D7F06B7}" name="Modern Manual"/>
    <tableColumn id="6" xr3:uid="{654285DB-8A7A-48CA-925C-850627355997}" name="High Precipitation"/>
    <tableColumn id="7" xr3:uid="{771387FD-9BEE-403F-9A67-21957E78E976}" name="Drought"/>
    <tableColumn id="8" xr3:uid="{D501D22F-D059-4704-B5F5-85BF67B7D166}" name="High Temperature"/>
    <tableColumn id="9" xr3:uid="{3A8EF973-2666-4241-BF88-53341286578C}" name="Sea Level Rise"/>
    <tableColumn id="13" xr3:uid="{82FCD21A-E026-4B84-9B43-E19190948E56}" name="Include" dataDxfId="23">
      <calculatedColumnFormula>Recommendations[[#This Row],[Include1]]+Recommendations[[#This Row],[Exclude]]</calculatedColumnFormula>
    </tableColumn>
    <tableColumn id="10" xr3:uid="{7167C347-573A-47D7-8282-187A65931DF0}" name="All" dataDxfId="22">
      <calculatedColumnFormula>IF(SUM(Recommendations[[#This Row],[Modern Manual]:[Sea Level Rise]])=0,0,Recommendations[[#This Row],[Include]])</calculatedColumnFormula>
    </tableColumn>
    <tableColumn id="18" xr3:uid="{7C255DC1-A0B5-430D-9A4B-252A35C91C1C}" name="Priority" dataDxfId="21">
      <calculatedColumnFormula>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calculatedColumnFormula>
    </tableColumn>
    <tableColumn id="11" xr3:uid="{B1950371-8C0A-4249-A2F3-BF6940FB3032}" name="Recommendation" dataDxfId="20"/>
    <tableColumn id="19" xr3:uid="{AEA5B94B-8EDB-479F-B8D5-4D12A12E32D8}" name="Section Priority" dataDxfId="19"/>
    <tableColumn id="20" xr3:uid="{6C2EE1D4-4913-4B16-BE90-D60EBF5FCDF5}" name="Include1" dataDxfId="18">
      <calculatedColumnFormula>IF(ISERROR(VLOOKUP(Recommendations[[#This Row],[QA]],'3. Answer Assessment Questions'!$G$6:$H$102,2,FALSE)),0,1)</calculatedColumnFormula>
    </tableColumn>
    <tableColumn id="21" xr3:uid="{09E0ABFF-865A-42B0-B2E0-F652F5A641DC}" name="Exclude"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88F4FE-E4A4-4712-82CA-F72530D10983}" name="State_Vulnerabilities" displayName="State_Vulnerabilities" ref="A1:G53" totalsRowShown="0" headerRowDxfId="16">
  <autoFilter ref="A1:G53" xr:uid="{2888F4FE-E4A4-4712-82CA-F72530D10983}"/>
  <tableColumns count="7">
    <tableColumn id="1" xr3:uid="{9F2C575A-5D98-426D-9B6B-18EFA0807456}" name="STATE"/>
    <tableColumn id="2" xr3:uid="{35E2D1FD-5E87-4E34-9C41-C90E392D171F}" name="STATE VULNERABILITY"/>
    <tableColumn id="3" xr3:uid="{70B8C5F4-1713-4C61-9123-2D73D65DE417}" name="VULN_LAND DEVEL"/>
    <tableColumn id="4" xr3:uid="{1C64B048-2E0B-49A7-9B7F-D7045BA779CD}" name="VULN_High RAIN"/>
    <tableColumn id="5" xr3:uid="{D26FB0B3-10EF-4102-BD44-44A894693A22}" name="VULN_DROUGHT"/>
    <tableColumn id="6" xr3:uid="{B3735D55-4EDC-4D19-AE4D-5B93CBC9B5BC}" name="VULN_SEA LVL"/>
    <tableColumn id="7" xr3:uid="{1D0762A4-3FBE-4E4B-9389-8DADBD80563D}" name="VULN_TEMP"/>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4006FB-B1CD-460E-B9A1-D56703BFB6DD}" name="Table3" displayName="Table3" ref="J1:J8" totalsRowShown="0" headerRowDxfId="15">
  <autoFilter ref="J1:J8" xr:uid="{004006FB-B1CD-460E-B9A1-D56703BFB6DD}"/>
  <tableColumns count="1">
    <tableColumn id="1" xr3:uid="{D2D57078-6B2F-4A02-8066-33289FC0B99D}" name="select type of docu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99" dT="2024-08-19T16:40:04.08" personId="{65BBF096-AF09-4DFA-A405-AC823ABD7264}" id="{7C5DA59E-6164-4F4C-9966-1ACE9BABBA1B}">
    <text>@Sami Khan @Deb Caraco Am I able to delete the "Other" and "N/A" rows without it messing up scoring and connections to other linked charts?</text>
    <mentions>
      <mention mentionpersonId="{B32A9D50-3F31-4070-8985-5B4E9E66126F}" mentionId="{F8C720EA-34E8-44DD-9D53-9850E01FE789}" startIndex="0" length="10"/>
      <mention mentionpersonId="{5E961E13-8209-4AAD-9DDE-038462B0B690}" mentionId="{99A729B5-7FFF-4D3A-A5DE-3E40988ACB79}" startIndex="11" length="11"/>
    </mentions>
  </threadedComment>
  <threadedComment ref="C99" dT="2024-08-19T16:48:16.08" personId="{FA4CC8D5-4999-47BD-A2BF-717A93CBB87C}" id="{7B3EAF7F-846A-43E5-B954-879432913488}" parentId="{7C5DA59E-6164-4F4C-9966-1ACE9BABBA1B}">
    <text>For this particular sheet, removing the rows with   "Other" and "N/A", will not mess-up with anything. However, if  non-zero scores are assigned for any "Other" and "N/A", then those should be removed. But I think, "Other" and "N/A" should always have non-zero scores.</text>
  </threadedComment>
  <threadedComment ref="C99" dT="2024-08-19T16:51:49.15" personId="{65BBF096-AF09-4DFA-A405-AC823ABD7264}" id="{A2480ECE-4B61-4045-BA0B-058A977C133C}" parentId="{7C5DA59E-6164-4F4C-9966-1ACE9BABBA1B}">
    <text>I will check to make sure that I only delete those rows with no point values associated. Thank you</text>
  </threadedComment>
  <threadedComment ref="C99" dT="2024-08-20T14:04:42.01" personId="{EE1E96C9-5A57-444C-92CA-5D084FC355AA}" id="{9AB26E52-F766-4814-8891-9E915124D248}" parentId="{7C5DA59E-6164-4F4C-9966-1ACE9BABBA1B}">
    <text>Thanks Paige.  I don't think any of the "Other" values had points.</text>
  </threadedComment>
</ThreadedComments>
</file>

<file path=xl/threadedComments/threadedComment2.xml><?xml version="1.0" encoding="utf-8"?>
<ThreadedComments xmlns="http://schemas.microsoft.com/office/spreadsheetml/2018/threadedcomments" xmlns:x="http://schemas.openxmlformats.org/spreadsheetml/2006/main">
  <threadedComment ref="C57" dT="2024-08-19T16:40:04.08" personId="{65BBF096-AF09-4DFA-A405-AC823ABD7264}" id="{B12B288C-DD5B-4B48-9B82-83F595962FC7}">
    <text>@Sami Khan @Deb Caraco Am I able to delete the "Other" and "N/A" rows without it messing up scoring and connections to other linked charts?</text>
    <mentions>
      <mention mentionpersonId="{B32A9D50-3F31-4070-8985-5B4E9E66126F}" mentionId="{3457E58C-8527-47D5-A794-73CB8EFBF312}" startIndex="0" length="10"/>
      <mention mentionpersonId="{5E961E13-8209-4AAD-9DDE-038462B0B690}" mentionId="{43ECBDBE-B601-4A75-BF70-DFE363CCB3FD}" startIndex="11" length="11"/>
    </mentions>
  </threadedComment>
  <threadedComment ref="C57" dT="2024-08-19T16:48:16.08" personId="{FA4CC8D5-4999-47BD-A2BF-717A93CBB87C}" id="{B30EAF34-974A-4625-9CF5-2111F6D1A5E1}" parentId="{B12B288C-DD5B-4B48-9B82-83F595962FC7}">
    <text>For this particular sheet, removing the rows with   "Other" and "N/A", will not mess-up with anything. However, if  non-zero scores are assigned for any "Other" and "N/A", then those should be removed. But I think, "Other" and "N/A" should always have non-zero scores.</text>
  </threadedComment>
  <threadedComment ref="C57" dT="2024-08-19T16:51:49.15" personId="{65BBF096-AF09-4DFA-A405-AC823ABD7264}" id="{C930951A-E747-4088-82AC-017A8164C31E}" parentId="{B12B288C-DD5B-4B48-9B82-83F595962FC7}">
    <text>I will check to make sure that I only delete those rows with no point values associated. Thank you</text>
  </threadedComment>
  <threadedComment ref="C57" dT="2024-08-20T14:04:42.01" personId="{EE1E96C9-5A57-444C-92CA-5D084FC355AA}" id="{3B4D2CFF-3090-4C1B-9094-B914F1F1B72F}" parentId="{B12B288C-DD5B-4B48-9B82-83F595962FC7}">
    <text>Thanks Paige.  I don't think any of the "Other" values had points.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wp.org/accounting-for-climate-change-in-post-construction-stormwater-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wp.org/accounting-for-climate-change-in-post-construction-stormwater-standar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AB86-266A-48F5-A1DA-D538F1F68641}">
  <sheetPr codeName="Sheet1"/>
  <dimension ref="B1:S26"/>
  <sheetViews>
    <sheetView showGridLines="0" topLeftCell="A5" zoomScaleNormal="100" workbookViewId="0">
      <selection activeCell="I23" sqref="I23"/>
    </sheetView>
  </sheetViews>
  <sheetFormatPr defaultRowHeight="14.5" x14ac:dyDescent="0.35"/>
  <cols>
    <col min="1" max="1" width="1.1796875" customWidth="1"/>
    <col min="2" max="2" width="5.1796875" customWidth="1"/>
    <col min="8" max="8" width="6.1796875" customWidth="1"/>
  </cols>
  <sheetData>
    <row r="1" spans="2:19" ht="33.65" customHeight="1" x14ac:dyDescent="0.7">
      <c r="B1" s="115" t="s">
        <v>0</v>
      </c>
      <c r="C1" s="116"/>
      <c r="D1" s="116"/>
      <c r="E1" s="116"/>
      <c r="F1" s="116"/>
      <c r="G1" s="116"/>
      <c r="H1" s="116"/>
      <c r="I1" s="116"/>
      <c r="J1" s="116"/>
      <c r="K1" s="116"/>
      <c r="L1" s="116"/>
      <c r="M1" s="116"/>
      <c r="N1" s="116"/>
      <c r="O1" s="116"/>
      <c r="P1" s="116"/>
    </row>
    <row r="2" spans="2:19" ht="82" customHeight="1" x14ac:dyDescent="0.35">
      <c r="B2" s="117" t="s">
        <v>1</v>
      </c>
      <c r="C2" s="118"/>
      <c r="D2" s="118"/>
      <c r="E2" s="118"/>
      <c r="F2" s="118"/>
      <c r="G2" s="118"/>
      <c r="H2" s="118"/>
      <c r="I2" s="118"/>
      <c r="J2" s="118"/>
      <c r="K2" s="118"/>
      <c r="L2" s="118"/>
      <c r="M2" s="118"/>
      <c r="N2" s="118"/>
      <c r="O2" s="118"/>
      <c r="P2" s="33"/>
    </row>
    <row r="3" spans="2:19" ht="5.15" customHeight="1" thickBot="1" x14ac:dyDescent="0.4">
      <c r="B3" s="30"/>
      <c r="C3" s="30"/>
      <c r="D3" s="30"/>
      <c r="E3" s="30"/>
      <c r="F3" s="30"/>
      <c r="G3" s="30"/>
      <c r="H3" s="30"/>
      <c r="I3" s="30"/>
      <c r="J3" s="30"/>
      <c r="K3" s="30"/>
      <c r="L3" s="30"/>
      <c r="M3" s="31"/>
      <c r="N3" s="31"/>
      <c r="O3" s="31"/>
      <c r="P3" s="31"/>
      <c r="Q3" s="31"/>
      <c r="R3" s="31"/>
      <c r="S3" s="31"/>
    </row>
    <row r="4" spans="2:19" ht="5.15" customHeight="1" thickTop="1" x14ac:dyDescent="0.35">
      <c r="B4" s="1"/>
      <c r="C4" s="1"/>
      <c r="D4" s="1"/>
      <c r="E4" s="1"/>
      <c r="F4" s="1"/>
      <c r="G4" s="1"/>
      <c r="H4" s="1"/>
      <c r="I4" s="1"/>
      <c r="J4" s="1"/>
      <c r="K4" s="1"/>
      <c r="L4" s="1"/>
    </row>
    <row r="5" spans="2:19" ht="18.5" x14ac:dyDescent="0.45">
      <c r="B5" s="36" t="s">
        <v>2</v>
      </c>
      <c r="C5" s="37"/>
      <c r="D5" s="37"/>
      <c r="E5" s="37"/>
      <c r="F5" s="37"/>
      <c r="G5" s="37"/>
      <c r="H5" s="37"/>
      <c r="I5" s="37"/>
      <c r="J5" s="37"/>
      <c r="K5" s="37"/>
      <c r="L5" s="37"/>
      <c r="M5" s="37"/>
      <c r="N5" s="37"/>
      <c r="O5" s="37"/>
      <c r="P5" s="37"/>
      <c r="Q5" s="37"/>
      <c r="R5" s="37"/>
      <c r="S5" s="37"/>
    </row>
    <row r="6" spans="2:19" ht="16" x14ac:dyDescent="0.4">
      <c r="B6" s="37"/>
      <c r="C6" s="119" t="s">
        <v>3</v>
      </c>
      <c r="D6" s="120"/>
      <c r="E6" s="120"/>
      <c r="F6" s="120"/>
      <c r="G6" s="120"/>
      <c r="H6" s="120"/>
      <c r="I6" s="120"/>
      <c r="J6" s="120"/>
      <c r="K6" s="120"/>
      <c r="L6" s="120"/>
      <c r="M6" s="120"/>
      <c r="N6" s="120"/>
      <c r="O6" s="120"/>
      <c r="P6" s="120"/>
      <c r="Q6" s="120"/>
      <c r="R6" s="120"/>
      <c r="S6" s="120"/>
    </row>
    <row r="7" spans="2:19" x14ac:dyDescent="0.35">
      <c r="B7" s="37"/>
      <c r="C7" s="37"/>
      <c r="D7" s="37"/>
      <c r="E7" s="37"/>
      <c r="F7" s="37"/>
      <c r="G7" s="37"/>
      <c r="H7" s="37"/>
      <c r="I7" s="37"/>
      <c r="J7" s="37"/>
      <c r="K7" s="37"/>
      <c r="L7" s="37"/>
      <c r="M7" s="37"/>
      <c r="N7" s="37"/>
      <c r="O7" s="37"/>
      <c r="P7" s="37"/>
      <c r="Q7" s="37"/>
      <c r="R7" s="37"/>
      <c r="S7" s="37"/>
    </row>
    <row r="8" spans="2:19" ht="49" customHeight="1" x14ac:dyDescent="0.4">
      <c r="B8" s="37"/>
      <c r="C8" s="123" t="s">
        <v>4</v>
      </c>
      <c r="D8" s="124"/>
      <c r="E8" s="124"/>
      <c r="F8" s="124"/>
      <c r="G8" s="124"/>
      <c r="H8" s="124"/>
      <c r="I8" s="124"/>
      <c r="J8" s="124"/>
      <c r="K8" s="124"/>
      <c r="L8" s="124"/>
      <c r="M8" s="124"/>
      <c r="N8" s="124"/>
      <c r="O8" s="124"/>
      <c r="P8" s="124"/>
      <c r="Q8" s="124"/>
      <c r="R8" s="124"/>
      <c r="S8" s="124"/>
    </row>
    <row r="9" spans="2:19" x14ac:dyDescent="0.35">
      <c r="B9" s="37"/>
      <c r="C9" s="37"/>
      <c r="D9" s="37"/>
      <c r="E9" s="37"/>
      <c r="F9" s="37"/>
      <c r="G9" s="37"/>
      <c r="H9" s="37"/>
      <c r="I9" s="37"/>
      <c r="J9" s="37"/>
      <c r="K9" s="37"/>
      <c r="L9" s="37"/>
      <c r="M9" s="37"/>
      <c r="N9" s="37"/>
      <c r="O9" s="37"/>
      <c r="P9" s="37"/>
      <c r="Q9" s="37"/>
      <c r="R9" s="37"/>
      <c r="S9" s="37"/>
    </row>
    <row r="10" spans="2:19" ht="48.65" customHeight="1" x14ac:dyDescent="0.4">
      <c r="B10" s="37"/>
      <c r="C10" s="123" t="s">
        <v>5</v>
      </c>
      <c r="D10" s="124"/>
      <c r="E10" s="124"/>
      <c r="F10" s="124"/>
      <c r="G10" s="124"/>
      <c r="H10" s="124"/>
      <c r="I10" s="124"/>
      <c r="J10" s="124"/>
      <c r="K10" s="124"/>
      <c r="L10" s="124"/>
      <c r="M10" s="124"/>
      <c r="N10" s="124"/>
      <c r="O10" s="124"/>
      <c r="P10" s="124"/>
      <c r="Q10" s="124"/>
      <c r="R10" s="124"/>
      <c r="S10" s="124"/>
    </row>
    <row r="11" spans="2:19" ht="10.5" customHeight="1" x14ac:dyDescent="0.4">
      <c r="B11" s="37"/>
      <c r="C11" s="38"/>
      <c r="D11" s="37"/>
      <c r="E11" s="37"/>
      <c r="F11" s="37"/>
      <c r="G11" s="37"/>
      <c r="H11" s="37"/>
      <c r="I11" s="37"/>
      <c r="J11" s="37"/>
      <c r="K11" s="37"/>
      <c r="L11" s="37"/>
      <c r="M11" s="37"/>
      <c r="N11" s="37"/>
      <c r="O11" s="37"/>
      <c r="P11" s="37"/>
      <c r="Q11" s="37"/>
      <c r="R11" s="37"/>
      <c r="S11" s="37"/>
    </row>
    <row r="12" spans="2:19" x14ac:dyDescent="0.35">
      <c r="B12" s="37"/>
      <c r="C12" s="123" t="s">
        <v>6</v>
      </c>
      <c r="D12" s="124"/>
      <c r="E12" s="124"/>
      <c r="F12" s="124"/>
      <c r="G12" s="124"/>
      <c r="H12" s="124"/>
      <c r="I12" s="124"/>
      <c r="J12" s="124"/>
      <c r="K12" s="124"/>
      <c r="L12" s="124"/>
      <c r="M12" s="124"/>
      <c r="N12" s="124"/>
      <c r="O12" s="124"/>
      <c r="P12" s="124"/>
      <c r="Q12" s="124"/>
      <c r="R12" s="124"/>
      <c r="S12" s="124"/>
    </row>
    <row r="13" spans="2:19" ht="36.65" customHeight="1" x14ac:dyDescent="0.35">
      <c r="B13" s="37"/>
      <c r="C13" s="124"/>
      <c r="D13" s="124"/>
      <c r="E13" s="124"/>
      <c r="F13" s="124"/>
      <c r="G13" s="124"/>
      <c r="H13" s="124"/>
      <c r="I13" s="124"/>
      <c r="J13" s="124"/>
      <c r="K13" s="124"/>
      <c r="L13" s="124"/>
      <c r="M13" s="124"/>
      <c r="N13" s="124"/>
      <c r="O13" s="124"/>
      <c r="P13" s="124"/>
      <c r="Q13" s="124"/>
      <c r="R13" s="124"/>
      <c r="S13" s="124"/>
    </row>
    <row r="14" spans="2:19" ht="5.5" customHeight="1" thickBot="1" x14ac:dyDescent="0.4">
      <c r="B14" s="31"/>
      <c r="C14" s="31"/>
      <c r="D14" s="31"/>
      <c r="E14" s="31"/>
      <c r="F14" s="31"/>
      <c r="G14" s="31"/>
      <c r="H14" s="31"/>
      <c r="I14" s="31"/>
      <c r="J14" s="31"/>
      <c r="K14" s="31"/>
      <c r="L14" s="31"/>
      <c r="M14" s="31"/>
      <c r="N14" s="31"/>
      <c r="O14" s="31"/>
      <c r="P14" s="31"/>
      <c r="Q14" s="31"/>
      <c r="R14" s="31"/>
      <c r="S14" s="31"/>
    </row>
    <row r="15" spans="2:19" ht="4.5" customHeight="1" thickTop="1" x14ac:dyDescent="0.35"/>
    <row r="16" spans="2:19" ht="18.5" x14ac:dyDescent="0.45">
      <c r="B16" s="32" t="s">
        <v>7</v>
      </c>
    </row>
    <row r="17" spans="2:19" ht="52" customHeight="1" x14ac:dyDescent="0.4">
      <c r="B17" s="121" t="s">
        <v>8</v>
      </c>
      <c r="C17" s="122"/>
      <c r="D17" s="122"/>
      <c r="E17" s="122"/>
      <c r="F17" s="122"/>
      <c r="G17" s="122"/>
      <c r="H17" s="122"/>
      <c r="I17" s="122"/>
      <c r="J17" s="122"/>
      <c r="K17" s="122"/>
      <c r="L17" s="122"/>
      <c r="M17" s="122"/>
      <c r="N17" s="122"/>
      <c r="O17" s="122"/>
      <c r="P17" s="122"/>
      <c r="Q17" s="122"/>
      <c r="R17" s="122"/>
      <c r="S17" s="122"/>
    </row>
    <row r="18" spans="2:19" ht="11.5" customHeight="1" x14ac:dyDescent="0.35"/>
    <row r="19" spans="2:19" ht="45" customHeight="1" x14ac:dyDescent="0.4">
      <c r="B19" s="125" t="s">
        <v>9</v>
      </c>
      <c r="C19" s="125"/>
      <c r="D19" s="125"/>
      <c r="E19" s="125"/>
      <c r="F19" s="125"/>
      <c r="G19" s="125"/>
      <c r="H19" s="125"/>
      <c r="I19" s="125"/>
      <c r="J19" s="125"/>
      <c r="K19" s="125"/>
      <c r="L19" s="125"/>
      <c r="M19" s="125"/>
      <c r="N19" s="125"/>
      <c r="O19" s="125"/>
      <c r="P19" s="125"/>
      <c r="Q19" s="125"/>
      <c r="R19" s="125"/>
      <c r="S19" s="125"/>
    </row>
    <row r="20" spans="2:19" ht="12.65" customHeight="1" x14ac:dyDescent="0.35"/>
    <row r="21" spans="2:19" ht="61" customHeight="1" x14ac:dyDescent="0.4">
      <c r="B21" s="121" t="s">
        <v>10</v>
      </c>
      <c r="C21" s="122"/>
      <c r="D21" s="122"/>
      <c r="E21" s="122"/>
      <c r="F21" s="122"/>
      <c r="G21" s="122"/>
      <c r="H21" s="122"/>
      <c r="I21" s="122"/>
      <c r="J21" s="122"/>
      <c r="K21" s="122"/>
      <c r="L21" s="122"/>
      <c r="M21" s="122"/>
      <c r="N21" s="122"/>
      <c r="O21" s="122"/>
      <c r="P21" s="122"/>
      <c r="Q21" s="122"/>
      <c r="R21" s="122"/>
      <c r="S21" s="122"/>
    </row>
    <row r="23" spans="2:19" ht="16" x14ac:dyDescent="0.4">
      <c r="B23" s="35" t="s">
        <v>11</v>
      </c>
      <c r="I23" s="69"/>
    </row>
    <row r="24" spans="2:19" ht="16" x14ac:dyDescent="0.4">
      <c r="B24" s="113" t="s">
        <v>12</v>
      </c>
      <c r="C24" s="114"/>
      <c r="D24" s="114"/>
      <c r="E24" s="114"/>
      <c r="F24" s="114"/>
      <c r="G24" s="114"/>
      <c r="H24" s="114"/>
      <c r="I24" s="114"/>
      <c r="J24" s="114"/>
      <c r="K24" s="114"/>
      <c r="L24" s="114"/>
    </row>
    <row r="26" spans="2:19" ht="16" x14ac:dyDescent="0.4">
      <c r="B26" s="83" t="s">
        <v>13</v>
      </c>
    </row>
  </sheetData>
  <sheetProtection sheet="1" objects="1" scenarios="1" selectLockedCells="1"/>
  <mergeCells count="10">
    <mergeCell ref="B24:L24"/>
    <mergeCell ref="B1:P1"/>
    <mergeCell ref="B2:O2"/>
    <mergeCell ref="C6:S6"/>
    <mergeCell ref="B21:S21"/>
    <mergeCell ref="C8:S8"/>
    <mergeCell ref="C10:S10"/>
    <mergeCell ref="C12:S13"/>
    <mergeCell ref="B17:S17"/>
    <mergeCell ref="B19:S19"/>
  </mergeCells>
  <hyperlinks>
    <hyperlink ref="B24" r:id="rId1" xr:uid="{9D086922-5219-40C7-9AAE-BE9B426AD32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FA75-D9BF-4AA3-AA79-7447EDF4CF68}">
  <sheetPr codeName="Sheet2">
    <pageSetUpPr fitToPage="1"/>
  </sheetPr>
  <dimension ref="B2:F29"/>
  <sheetViews>
    <sheetView showGridLines="0" topLeftCell="A14" workbookViewId="0">
      <selection activeCell="C9" sqref="C9:D11"/>
    </sheetView>
  </sheetViews>
  <sheetFormatPr defaultRowHeight="14.5" x14ac:dyDescent="0.35"/>
  <cols>
    <col min="1" max="1" width="2.453125" customWidth="1"/>
    <col min="2" max="2" width="39.54296875" style="1" customWidth="1"/>
    <col min="3" max="3" width="21.81640625" style="12" customWidth="1"/>
    <col min="4" max="4" width="34.81640625" customWidth="1"/>
    <col min="5" max="5" width="45.81640625" customWidth="1"/>
    <col min="6" max="6" width="14.453125" customWidth="1"/>
  </cols>
  <sheetData>
    <row r="2" spans="2:6" ht="30.65" customHeight="1" x14ac:dyDescent="0.35">
      <c r="B2" s="140" t="s">
        <v>14</v>
      </c>
      <c r="C2" s="141"/>
      <c r="D2" s="141"/>
      <c r="E2" s="142"/>
    </row>
    <row r="3" spans="2:6" ht="18.649999999999999" customHeight="1" x14ac:dyDescent="0.35">
      <c r="B3" s="150" t="s">
        <v>12</v>
      </c>
      <c r="C3" s="151"/>
      <c r="D3" s="151"/>
      <c r="E3" s="152"/>
    </row>
    <row r="4" spans="2:6" ht="8.5" customHeight="1" x14ac:dyDescent="0.4">
      <c r="B4" s="40"/>
      <c r="C4" s="1"/>
    </row>
    <row r="5" spans="2:6" ht="15" customHeight="1" x14ac:dyDescent="0.35">
      <c r="B5" s="58" t="s">
        <v>15</v>
      </c>
      <c r="C5" s="39"/>
    </row>
    <row r="6" spans="2:6" ht="15" thickBot="1" x14ac:dyDescent="0.4"/>
    <row r="7" spans="2:6" ht="23.15" customHeight="1" thickBot="1" x14ac:dyDescent="0.4">
      <c r="B7" s="145" t="s">
        <v>16</v>
      </c>
      <c r="C7" s="146"/>
      <c r="D7" s="147"/>
      <c r="E7" s="4"/>
    </row>
    <row r="8" spans="2:6" ht="16.5" thickBot="1" x14ac:dyDescent="0.45">
      <c r="B8" s="41" t="s">
        <v>17</v>
      </c>
      <c r="C8" s="143" t="s">
        <v>18</v>
      </c>
      <c r="D8" s="144"/>
    </row>
    <row r="9" spans="2:6" ht="64" customHeight="1" thickBot="1" x14ac:dyDescent="0.4">
      <c r="B9" s="41" t="s">
        <v>19</v>
      </c>
      <c r="C9" s="148"/>
      <c r="D9" s="149"/>
    </row>
    <row r="10" spans="2:6" ht="70.5" customHeight="1" thickBot="1" x14ac:dyDescent="0.4">
      <c r="B10" s="41" t="s">
        <v>20</v>
      </c>
      <c r="C10" s="148"/>
      <c r="D10" s="149"/>
    </row>
    <row r="11" spans="2:6" ht="16.5" thickBot="1" x14ac:dyDescent="0.45">
      <c r="B11" s="41" t="s">
        <v>21</v>
      </c>
      <c r="C11" s="126"/>
      <c r="D11" s="127"/>
    </row>
    <row r="12" spans="2:6" ht="17.149999999999999" customHeight="1" x14ac:dyDescent="0.35"/>
    <row r="13" spans="2:6" ht="24.65" customHeight="1" thickBot="1" x14ac:dyDescent="0.4">
      <c r="B13" s="136" t="s">
        <v>22</v>
      </c>
      <c r="C13" s="137"/>
      <c r="D13" s="137"/>
      <c r="E13" s="74"/>
      <c r="F13" s="74"/>
    </row>
    <row r="14" spans="2:6" ht="33.65" customHeight="1" thickBot="1" x14ac:dyDescent="0.4">
      <c r="B14" s="131" t="s">
        <v>23</v>
      </c>
      <c r="C14" s="131"/>
      <c r="D14" s="128"/>
      <c r="E14" s="128"/>
      <c r="F14" s="129"/>
    </row>
    <row r="15" spans="2:6" ht="33" customHeight="1" thickBot="1" x14ac:dyDescent="0.4">
      <c r="B15" s="59" t="s">
        <v>24</v>
      </c>
      <c r="C15" s="59" t="s">
        <v>25</v>
      </c>
      <c r="D15" s="80"/>
      <c r="E15" s="128"/>
      <c r="F15" s="135"/>
    </row>
    <row r="16" spans="2:6" ht="32.5" thickBot="1" x14ac:dyDescent="0.45">
      <c r="B16" s="43" t="s">
        <v>26</v>
      </c>
      <c r="C16" s="82">
        <f>VLOOKUP(C8,State_Vulnerabilities[],4,0)</f>
        <v>0</v>
      </c>
      <c r="D16" s="81"/>
      <c r="E16" s="125"/>
      <c r="F16" s="122"/>
    </row>
    <row r="17" spans="2:6" ht="32.5" thickBot="1" x14ac:dyDescent="0.45">
      <c r="B17" s="43" t="s">
        <v>27</v>
      </c>
      <c r="C17" s="82">
        <f>VLOOKUP(C8,State_Vulnerabilities[],5,0)</f>
        <v>0</v>
      </c>
      <c r="D17" s="81"/>
      <c r="E17" s="125"/>
      <c r="F17" s="122"/>
    </row>
    <row r="18" spans="2:6" ht="32.5" thickBot="1" x14ac:dyDescent="0.4">
      <c r="B18" s="78" t="s">
        <v>28</v>
      </c>
      <c r="C18" s="82">
        <f>VLOOKUP(C8,State_Vulnerabilities[],7,0)</f>
        <v>0</v>
      </c>
      <c r="D18" s="81"/>
      <c r="E18" s="132"/>
      <c r="F18" s="133"/>
    </row>
    <row r="19" spans="2:6" ht="32.5" thickBot="1" x14ac:dyDescent="0.4">
      <c r="B19" s="78" t="s">
        <v>29</v>
      </c>
      <c r="C19" s="82">
        <f>VLOOKUP(C8,State_Vulnerabilities[],6,0)</f>
        <v>0</v>
      </c>
      <c r="D19" s="81"/>
      <c r="E19" s="132"/>
      <c r="F19" s="133"/>
    </row>
    <row r="20" spans="2:6" ht="13.5" customHeight="1" x14ac:dyDescent="0.4">
      <c r="B20" s="34"/>
      <c r="C20" s="42"/>
      <c r="D20" s="81"/>
      <c r="E20" s="134"/>
      <c r="F20" s="134"/>
    </row>
    <row r="21" spans="2:6" ht="28.75" customHeight="1" x14ac:dyDescent="0.4">
      <c r="B21" s="138"/>
      <c r="C21" s="139"/>
    </row>
    <row r="23" spans="2:6" ht="68.150000000000006" customHeight="1" x14ac:dyDescent="0.35">
      <c r="B23" s="130"/>
      <c r="C23" s="130"/>
    </row>
    <row r="24" spans="2:6" x14ac:dyDescent="0.35">
      <c r="B24" s="3"/>
    </row>
    <row r="26" spans="2:6" ht="27" customHeight="1" x14ac:dyDescent="0.35">
      <c r="B26"/>
    </row>
    <row r="29" spans="2:6" ht="16" x14ac:dyDescent="0.4">
      <c r="B29" s="29"/>
    </row>
  </sheetData>
  <sheetProtection sheet="1" objects="1" scenarios="1" selectLockedCells="1"/>
  <mergeCells count="18">
    <mergeCell ref="B2:E2"/>
    <mergeCell ref="C8:D8"/>
    <mergeCell ref="B7:D7"/>
    <mergeCell ref="C9:D9"/>
    <mergeCell ref="C10:D10"/>
    <mergeCell ref="B3:E3"/>
    <mergeCell ref="C11:D11"/>
    <mergeCell ref="D14:F14"/>
    <mergeCell ref="B23:C23"/>
    <mergeCell ref="B14:C14"/>
    <mergeCell ref="E16:F16"/>
    <mergeCell ref="E17:F17"/>
    <mergeCell ref="E18:F18"/>
    <mergeCell ref="E19:F19"/>
    <mergeCell ref="E20:F20"/>
    <mergeCell ref="E15:F15"/>
    <mergeCell ref="B13:D13"/>
    <mergeCell ref="B21:C21"/>
  </mergeCells>
  <conditionalFormatting sqref="C16:C19">
    <cfRule type="containsText" dxfId="14" priority="1" operator="containsText" text="High">
      <formula>NOT(ISERROR(SEARCH("High",C16)))</formula>
    </cfRule>
    <cfRule type="containsText" dxfId="13" priority="2" operator="containsText" text="Moderate">
      <formula>NOT(ISERROR(SEARCH("Moderate",C16)))</formula>
    </cfRule>
    <cfRule type="containsText" dxfId="12" priority="3" operator="containsText" text="Low">
      <formula>NOT(ISERROR(SEARCH("Low",C16)))</formula>
    </cfRule>
  </conditionalFormatting>
  <dataValidations count="2">
    <dataValidation type="list" allowBlank="1" showInputMessage="1" showErrorMessage="1" sqref="C8" xr:uid="{D138160F-9B00-4C39-BF3B-D314BD423FF1}">
      <formula1>state_dropdown</formula1>
    </dataValidation>
    <dataValidation type="list" allowBlank="1" showInputMessage="1" showErrorMessage="1" sqref="C27 C25" xr:uid="{87002F66-AF4B-4E14-AAB0-FE9130F94AC9}">
      <formula1>#REF!</formula1>
    </dataValidation>
  </dataValidations>
  <hyperlinks>
    <hyperlink ref="B3:E3" r:id="rId1" display="https://cwp.org/accounting-for-climate-change-in-post-construction-stormwater-standards" xr:uid="{B9CE1E6F-3E94-44B5-B9DC-77ADE09A0393}"/>
  </hyperlinks>
  <pageMargins left="0.7" right="0.7" top="0.75" bottom="0.75" header="0.3" footer="0.3"/>
  <pageSetup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8B58-CEB4-46E0-A106-DB54808981AE}">
  <sheetPr codeName="Sheet3"/>
  <dimension ref="A2:N121"/>
  <sheetViews>
    <sheetView showGridLines="0" topLeftCell="B88" zoomScaleNormal="100" workbookViewId="0">
      <selection activeCell="E39" sqref="E39"/>
    </sheetView>
  </sheetViews>
  <sheetFormatPr defaultColWidth="25.453125" defaultRowHeight="14.5" x14ac:dyDescent="0.35"/>
  <cols>
    <col min="1" max="1" width="5.453125" hidden="1" customWidth="1"/>
    <col min="2" max="2" width="2.81640625" customWidth="1"/>
    <col min="3" max="3" width="5.1796875" style="13" customWidth="1"/>
    <col min="4" max="4" width="86" style="17" customWidth="1"/>
    <col min="5" max="5" width="40.1796875" style="1" customWidth="1"/>
    <col min="6" max="6" width="12.54296875" customWidth="1"/>
    <col min="7" max="7" width="25.453125" hidden="1" customWidth="1"/>
    <col min="8" max="12" width="18.54296875" customWidth="1"/>
  </cols>
  <sheetData>
    <row r="2" spans="1:14" ht="45.65" customHeight="1" x14ac:dyDescent="0.35">
      <c r="C2" s="170" t="s">
        <v>30</v>
      </c>
      <c r="D2" s="170"/>
      <c r="E2" s="170"/>
      <c r="H2" s="170" t="s">
        <v>31</v>
      </c>
      <c r="I2" s="170"/>
      <c r="J2" s="170"/>
      <c r="K2" s="170"/>
      <c r="L2" s="170"/>
    </row>
    <row r="3" spans="1:14" ht="15" thickBot="1" x14ac:dyDescent="0.4"/>
    <row r="4" spans="1:14" ht="43.4" customHeight="1" x14ac:dyDescent="0.35">
      <c r="C4" s="172" t="s">
        <v>32</v>
      </c>
      <c r="D4" s="172"/>
      <c r="E4" s="44" t="s">
        <v>33</v>
      </c>
      <c r="F4" s="14"/>
      <c r="H4" s="51" t="s">
        <v>34</v>
      </c>
      <c r="I4" s="52" t="s">
        <v>35</v>
      </c>
      <c r="J4" s="52" t="s">
        <v>36</v>
      </c>
      <c r="K4" s="52" t="s">
        <v>37</v>
      </c>
      <c r="L4" s="53" t="s">
        <v>38</v>
      </c>
      <c r="N4" s="6"/>
    </row>
    <row r="5" spans="1:14" ht="23.15" customHeight="1" x14ac:dyDescent="0.35">
      <c r="C5" s="171" t="s">
        <v>39</v>
      </c>
      <c r="D5" s="171"/>
      <c r="E5" s="171"/>
      <c r="F5" s="14"/>
      <c r="H5" s="174"/>
      <c r="I5" s="175"/>
      <c r="J5" s="175"/>
      <c r="K5" s="175"/>
      <c r="L5" s="176"/>
      <c r="N5" s="6"/>
    </row>
    <row r="6" spans="1:14" ht="43.4" customHeight="1" x14ac:dyDescent="0.35">
      <c r="A6" t="s">
        <v>40</v>
      </c>
      <c r="C6" s="47" t="s">
        <v>40</v>
      </c>
      <c r="D6" s="48" t="s">
        <v>41</v>
      </c>
      <c r="E6" s="50"/>
      <c r="G6" t="str">
        <f>A6&amp;D6&amp;E6</f>
        <v>1)Do stormwater standards provide detailed guidance for selecting and designing appropriate stormwater best management pratices (BMPs)?</v>
      </c>
      <c r="H6" s="104">
        <f>IFERROR(VLOOKUP($G6,Table5[[QA]:[SCORING: SEA LEVEL RISE]], 2, FALSE),0)</f>
        <v>0</v>
      </c>
      <c r="I6" s="105">
        <f>IFERROR(VLOOKUP($G6,Table5[[QA]:[SCORING: SEA LEVEL RISE]], 3, FALSE),0)</f>
        <v>0</v>
      </c>
      <c r="J6" s="105">
        <f>IFERROR(VLOOKUP($G6,Table5[[QA]:[SCORING: SEA LEVEL RISE]], 4, FALSE),0)</f>
        <v>0</v>
      </c>
      <c r="K6" s="105">
        <f>IFERROR(VLOOKUP($G6,Table5[[QA]:[SCORING: SEA LEVEL RISE]], 5, FALSE),0)</f>
        <v>0</v>
      </c>
      <c r="L6" s="106">
        <f>IFERROR(VLOOKUP($G6,Table5[[QA]:[SCORING: SEA LEVEL RISE]], 6, FALSE),0)</f>
        <v>0</v>
      </c>
      <c r="N6" s="11"/>
    </row>
    <row r="7" spans="1:14" ht="28.4" customHeight="1" x14ac:dyDescent="0.35">
      <c r="A7" t="s">
        <v>42</v>
      </c>
      <c r="C7" s="45" t="s">
        <v>42</v>
      </c>
      <c r="D7" s="46" t="s">
        <v>43</v>
      </c>
      <c r="E7" s="50"/>
      <c r="G7" t="str">
        <f t="shared" ref="G7:G69" si="0">A7&amp;D7&amp;E7</f>
        <v>2)Do the standards include a climate change section or mention of the effects of climate change on stormwater management?</v>
      </c>
      <c r="H7" s="107">
        <f>IFERROR(VLOOKUP($G7,Table5[[QA]:[SCORING: SEA LEVEL RISE]], 2, FALSE),0)</f>
        <v>0</v>
      </c>
      <c r="I7" s="108">
        <f>IFERROR(VLOOKUP($G7,Table5[[QA]:[SCORING: SEA LEVEL RISE]], 3, FALSE),0)</f>
        <v>0</v>
      </c>
      <c r="J7" s="108">
        <f>IFERROR(VLOOKUP($G7,Table5[[QA]:[SCORING: SEA LEVEL RISE]], 4, FALSE),0)</f>
        <v>0</v>
      </c>
      <c r="K7" s="108">
        <f>IFERROR(VLOOKUP($G7,Table5[[QA]:[SCORING: SEA LEVEL RISE]], 5, FALSE),0)</f>
        <v>0</v>
      </c>
      <c r="L7" s="109">
        <f>IFERROR(VLOOKUP($G7,Table5[[QA]:[SCORING: SEA LEVEL RISE]], 6, FALSE),0)</f>
        <v>0</v>
      </c>
      <c r="N7" s="11"/>
    </row>
    <row r="8" spans="1:14" ht="30" customHeight="1" x14ac:dyDescent="0.35">
      <c r="A8" t="s">
        <v>44</v>
      </c>
      <c r="C8" s="47" t="s">
        <v>44</v>
      </c>
      <c r="D8" s="48" t="s">
        <v>45</v>
      </c>
      <c r="E8" s="50"/>
      <c r="G8" t="str">
        <f t="shared" si="0"/>
        <v>2a)If so, does this section explicitly address or mention sea level rise?</v>
      </c>
      <c r="H8" s="104">
        <f>IFERROR(VLOOKUP($G8,Table5[[QA]:[SCORING: SEA LEVEL RISE]], 2, FALSE),0)</f>
        <v>0</v>
      </c>
      <c r="I8" s="105">
        <f>IFERROR(VLOOKUP($G8,Table5[[QA]:[SCORING: SEA LEVEL RISE]], 3, FALSE),0)</f>
        <v>0</v>
      </c>
      <c r="J8" s="105">
        <f>IFERROR(VLOOKUP($G8,Table5[[QA]:[SCORING: SEA LEVEL RISE]], 4, FALSE),0)</f>
        <v>0</v>
      </c>
      <c r="K8" s="105">
        <f>IFERROR(VLOOKUP($G8,Table5[[QA]:[SCORING: SEA LEVEL RISE]], 5, FALSE),0)</f>
        <v>0</v>
      </c>
      <c r="L8" s="106">
        <f>IFERROR(VLOOKUP($G8,Table5[[QA]:[SCORING: SEA LEVEL RISE]], 6, FALSE),0)</f>
        <v>0</v>
      </c>
      <c r="N8" s="11"/>
    </row>
    <row r="9" spans="1:14" ht="29.9" customHeight="1" x14ac:dyDescent="0.35">
      <c r="A9" t="s">
        <v>46</v>
      </c>
      <c r="C9" s="45" t="s">
        <v>46</v>
      </c>
      <c r="D9" s="46" t="s">
        <v>47</v>
      </c>
      <c r="E9" s="50"/>
      <c r="G9" t="str">
        <f t="shared" si="0"/>
        <v>2b)If applicable, does the climate section include specific recommendations for how to design practices to adapt to climate change?</v>
      </c>
      <c r="H9" s="107">
        <f>IFERROR(VLOOKUP($G9,Table5[[QA]:[SCORING: SEA LEVEL RISE]], 2, FALSE),0)</f>
        <v>0</v>
      </c>
      <c r="I9" s="108">
        <f>IFERROR(VLOOKUP($G9,Table5[[QA]:[SCORING: SEA LEVEL RISE]], 3, FALSE),0)</f>
        <v>0</v>
      </c>
      <c r="J9" s="108">
        <f>IFERROR(VLOOKUP($G9,Table5[[QA]:[SCORING: SEA LEVEL RISE]], 4, FALSE),0)</f>
        <v>0</v>
      </c>
      <c r="K9" s="108">
        <f>IFERROR(VLOOKUP($G9,Table5[[QA]:[SCORING: SEA LEVEL RISE]], 5, FALSE),0)</f>
        <v>0</v>
      </c>
      <c r="L9" s="109">
        <f>IFERROR(VLOOKUP($G9,Table5[[QA]:[SCORING: SEA LEVEL RISE]], 6, FALSE),0)</f>
        <v>0</v>
      </c>
      <c r="N9" s="11"/>
    </row>
    <row r="10" spans="1:14" ht="25.5" customHeight="1" x14ac:dyDescent="0.35">
      <c r="C10" s="159" t="s">
        <v>48</v>
      </c>
      <c r="D10" s="159"/>
      <c r="E10" s="159"/>
      <c r="G10" t="str">
        <f t="shared" si="0"/>
        <v/>
      </c>
      <c r="H10" s="173"/>
      <c r="I10" s="167"/>
      <c r="J10" s="167"/>
      <c r="K10" s="167"/>
      <c r="L10" s="168"/>
      <c r="N10" s="11"/>
    </row>
    <row r="11" spans="1:14" ht="48.65" customHeight="1" x14ac:dyDescent="0.35">
      <c r="A11" t="s">
        <v>49</v>
      </c>
      <c r="C11" s="47" t="s">
        <v>49</v>
      </c>
      <c r="D11" s="48" t="s">
        <v>50</v>
      </c>
      <c r="E11" s="50"/>
      <c r="G11" t="str">
        <f t="shared" si="0"/>
        <v>3)What is the source of data for water quantity (e.g., flood or channel protection) storms?</v>
      </c>
      <c r="H11" s="104">
        <f>IFERROR(VLOOKUP($G11,Table5[[QA]:[SCORING: SEA LEVEL RISE]], 2, FALSE),0)</f>
        <v>0</v>
      </c>
      <c r="I11" s="105">
        <f>IFERROR(VLOOKUP($G11,Table5[[QA]:[SCORING: SEA LEVEL RISE]], 3, FALSE),0)</f>
        <v>0</v>
      </c>
      <c r="J11" s="105">
        <f>IFERROR(VLOOKUP($G11,Table5[[QA]:[SCORING: SEA LEVEL RISE]], 4, FALSE),0)</f>
        <v>0</v>
      </c>
      <c r="K11" s="105">
        <f>IFERROR(VLOOKUP($G11,Table5[[QA]:[SCORING: SEA LEVEL RISE]], 5, FALSE),0)</f>
        <v>0</v>
      </c>
      <c r="L11" s="106">
        <f>IFERROR(VLOOKUP($G11,Table5[[QA]:[SCORING: SEA LEVEL RISE]], 6, FALSE),0)</f>
        <v>0</v>
      </c>
      <c r="N11" s="11"/>
    </row>
    <row r="12" spans="1:14" ht="29.9" customHeight="1" x14ac:dyDescent="0.35">
      <c r="A12" t="s">
        <v>51</v>
      </c>
      <c r="C12" s="45" t="s">
        <v>51</v>
      </c>
      <c r="D12" s="46" t="s">
        <v>52</v>
      </c>
      <c r="E12" s="50"/>
      <c r="G12" t="str">
        <f t="shared" si="0"/>
        <v>4)Are design storms incorporated by reference (i.e. automatically updated as information changes)?</v>
      </c>
      <c r="H12" s="107">
        <f>IFERROR(VLOOKUP($G12,Table5[[QA]:[SCORING: SEA LEVEL RISE]], 2, FALSE),0)</f>
        <v>0</v>
      </c>
      <c r="I12" s="108">
        <f>IFERROR(VLOOKUP($G12,Table5[[QA]:[SCORING: SEA LEVEL RISE]], 3, FALSE),0)</f>
        <v>0</v>
      </c>
      <c r="J12" s="108">
        <f>IFERROR(VLOOKUP($G12,Table5[[QA]:[SCORING: SEA LEVEL RISE]], 4, FALSE),0)</f>
        <v>0</v>
      </c>
      <c r="K12" s="108">
        <f>IFERROR(VLOOKUP($G12,Table5[[QA]:[SCORING: SEA LEVEL RISE]], 5, FALSE),0)</f>
        <v>0</v>
      </c>
      <c r="L12" s="109">
        <f>IFERROR(VLOOKUP($G12,Table5[[QA]:[SCORING: SEA LEVEL RISE]], 6, FALSE),0)</f>
        <v>0</v>
      </c>
      <c r="N12" s="11"/>
    </row>
    <row r="13" spans="1:14" ht="29.9" customHeight="1" x14ac:dyDescent="0.35">
      <c r="A13" t="s">
        <v>53</v>
      </c>
      <c r="C13" s="47" t="s">
        <v>53</v>
      </c>
      <c r="D13" s="48" t="s">
        <v>54</v>
      </c>
      <c r="E13" s="50"/>
      <c r="F13" s="1"/>
      <c r="G13" t="str">
        <f>A13&amp;D13&amp;E13</f>
        <v>5)What is the objective of water quantity sizing?</v>
      </c>
      <c r="H13" s="104">
        <f>IFERROR(VLOOKUP($G13,Table5[[QA]:[SCORING: SEA LEVEL RISE]], 2, FALSE),0)</f>
        <v>0</v>
      </c>
      <c r="I13" s="105">
        <f>IFERROR(VLOOKUP($G13,Table5[[QA]:[SCORING: SEA LEVEL RISE]], 3, FALSE),0)</f>
        <v>0</v>
      </c>
      <c r="J13" s="105">
        <f>IFERROR(VLOOKUP($G13,Table5[[QA]:[SCORING: SEA LEVEL RISE]], 4, FALSE),0)</f>
        <v>0</v>
      </c>
      <c r="K13" s="105">
        <f>IFERROR(VLOOKUP($G13,Table5[[QA]:[SCORING: SEA LEVEL RISE]], 5, FALSE),0)</f>
        <v>0</v>
      </c>
      <c r="L13" s="106">
        <f>IFERROR(VLOOKUP($G13,Table5[[QA]:[SCORING: SEA LEVEL RISE]], 6, FALSE),0)</f>
        <v>0</v>
      </c>
      <c r="N13" s="11"/>
    </row>
    <row r="14" spans="1:14" ht="29.9" customHeight="1" x14ac:dyDescent="0.35">
      <c r="A14" t="s">
        <v>55</v>
      </c>
      <c r="C14" s="165" t="s">
        <v>55</v>
      </c>
      <c r="D14" s="154" t="s">
        <v>56</v>
      </c>
      <c r="E14" s="154"/>
      <c r="G14" t="str">
        <f t="shared" si="0"/>
        <v>6)Are any of these features incorporated into water quantity sizing ? (select "Yes" for all that apply)</v>
      </c>
      <c r="H14" s="166"/>
      <c r="I14" s="167"/>
      <c r="J14" s="167"/>
      <c r="K14" s="167"/>
      <c r="L14" s="168"/>
      <c r="N14" s="11"/>
    </row>
    <row r="15" spans="1:14" x14ac:dyDescent="0.35">
      <c r="A15" t="s">
        <v>57</v>
      </c>
      <c r="C15" s="163"/>
      <c r="D15" s="49" t="s">
        <v>58</v>
      </c>
      <c r="E15" s="50"/>
      <c r="G15" t="str">
        <f>A15&amp;D15&amp;E15</f>
        <v>6a)Risk-based approach (e.g., providing greater flood control in flood-prone areas)</v>
      </c>
      <c r="H15" s="107">
        <f>IFERROR(VLOOKUP($G15,Table5[[QA]:[SCORING: SEA LEVEL RISE]], 2, FALSE),0)</f>
        <v>0</v>
      </c>
      <c r="I15" s="108">
        <f>IFERROR(VLOOKUP($G15,Table5[[QA]:[SCORING: SEA LEVEL RISE]], 3, FALSE),0)</f>
        <v>0</v>
      </c>
      <c r="J15" s="108">
        <f>IFERROR(VLOOKUP($G15,Table5[[QA]:[SCORING: SEA LEVEL RISE]], 4, FALSE),0)</f>
        <v>0</v>
      </c>
      <c r="K15" s="108">
        <f>IFERROR(VLOOKUP($G15,Table5[[QA]:[SCORING: SEA LEVEL RISE]], 5, FALSE),0)</f>
        <v>0</v>
      </c>
      <c r="L15" s="109">
        <f>IFERROR(VLOOKUP($G15,Table5[[QA]:[SCORING: SEA LEVEL RISE]], 6, FALSE),0)</f>
        <v>0</v>
      </c>
      <c r="N15" s="11"/>
    </row>
    <row r="16" spans="1:14" x14ac:dyDescent="0.35">
      <c r="A16" t="s">
        <v>59</v>
      </c>
      <c r="C16" s="163"/>
      <c r="D16" s="49" t="s">
        <v>60</v>
      </c>
      <c r="E16" s="50"/>
      <c r="G16" t="str">
        <f>A16&amp;D16&amp;E16</f>
        <v>6b)Continuous models based on existing rainfall patterns or a "typical year" are used to establish targets</v>
      </c>
      <c r="H16" s="107">
        <f>IFERROR(VLOOKUP($G16,Table5[[QA]:[SCORING: SEA LEVEL RISE]], 2, FALSE),0)</f>
        <v>0</v>
      </c>
      <c r="I16" s="108">
        <f>IFERROR(VLOOKUP($G16,Table5[[QA]:[SCORING: SEA LEVEL RISE]], 3, FALSE),0)</f>
        <v>0</v>
      </c>
      <c r="J16" s="108">
        <f>IFERROR(VLOOKUP($G16,Table5[[QA]:[SCORING: SEA LEVEL RISE]], 4, FALSE),0)</f>
        <v>0</v>
      </c>
      <c r="K16" s="108">
        <f>IFERROR(VLOOKUP($G16,Table5[[QA]:[SCORING: SEA LEVEL RISE]], 5, FALSE),0)</f>
        <v>0</v>
      </c>
      <c r="L16" s="109">
        <f>IFERROR(VLOOKUP($G16,Table5[[QA]:[SCORING: SEA LEVEL RISE]], 6, FALSE),0)</f>
        <v>0</v>
      </c>
      <c r="N16" s="11"/>
    </row>
    <row r="17" spans="1:14" x14ac:dyDescent="0.35">
      <c r="A17" t="s">
        <v>61</v>
      </c>
      <c r="C17" s="164"/>
      <c r="D17" s="49" t="s">
        <v>62</v>
      </c>
      <c r="E17" s="50"/>
      <c r="G17" t="str">
        <f>A17&amp;D17&amp;E17</f>
        <v>6c)Continuous models based on projected rainfall patterns (assuming climate change) are used to establish targets</v>
      </c>
      <c r="H17" s="107">
        <f>IFERROR(VLOOKUP($G17,Table5[[QA]:[SCORING: SEA LEVEL RISE]], 2, FALSE),0)</f>
        <v>0</v>
      </c>
      <c r="I17" s="108">
        <f>IFERROR(VLOOKUP($G17,Table5[[QA]:[SCORING: SEA LEVEL RISE]], 3, FALSE),0)</f>
        <v>0</v>
      </c>
      <c r="J17" s="108">
        <f>IFERROR(VLOOKUP($G17,Table5[[QA]:[SCORING: SEA LEVEL RISE]], 4, FALSE),0)</f>
        <v>0</v>
      </c>
      <c r="K17" s="108">
        <f>IFERROR(VLOOKUP($G17,Table5[[QA]:[SCORING: SEA LEVEL RISE]], 5, FALSE),0)</f>
        <v>0</v>
      </c>
      <c r="L17" s="109">
        <f>IFERROR(VLOOKUP($G17,Table5[[QA]:[SCORING: SEA LEVEL RISE]], 6, FALSE),0)</f>
        <v>0</v>
      </c>
      <c r="N17" s="11"/>
    </row>
    <row r="18" spans="1:14" ht="29.9" customHeight="1" x14ac:dyDescent="0.35">
      <c r="A18" t="s">
        <v>63</v>
      </c>
      <c r="C18" s="162" t="s">
        <v>63</v>
      </c>
      <c r="D18" s="155" t="s">
        <v>64</v>
      </c>
      <c r="E18" s="155"/>
      <c r="G18" t="str">
        <f t="shared" si="0"/>
        <v>7)In addition to quantity (flood) control what other goals are incorporated into BMP sizing standards? (select "Yes" for all that apply)</v>
      </c>
      <c r="H18" s="169"/>
      <c r="I18" s="167"/>
      <c r="J18" s="167"/>
      <c r="K18" s="167"/>
      <c r="L18" s="168"/>
      <c r="N18" s="11"/>
    </row>
    <row r="19" spans="1:14" x14ac:dyDescent="0.35">
      <c r="A19" t="s">
        <v>65</v>
      </c>
      <c r="C19" s="163"/>
      <c r="D19" s="55" t="s">
        <v>66</v>
      </c>
      <c r="E19" s="50"/>
      <c r="G19" t="str">
        <f t="shared" si="0"/>
        <v>7a)Channel protection</v>
      </c>
      <c r="H19" s="104">
        <f>IFERROR(VLOOKUP($G19,Table5[[QA]:[SCORING: SEA LEVEL RISE]], 2, FALSE),0)</f>
        <v>0</v>
      </c>
      <c r="I19" s="105">
        <f>IFERROR(VLOOKUP($G19,Table5[[QA]:[SCORING: SEA LEVEL RISE]], 3, FALSE),0)</f>
        <v>0</v>
      </c>
      <c r="J19" s="105">
        <f>IFERROR(VLOOKUP($G19,Table5[[QA]:[SCORING: SEA LEVEL RISE]], 4, FALSE),0)</f>
        <v>0</v>
      </c>
      <c r="K19" s="105">
        <f>IFERROR(VLOOKUP($G19,Table5[[QA]:[SCORING: SEA LEVEL RISE]], 5, FALSE),0)</f>
        <v>0</v>
      </c>
      <c r="L19" s="106">
        <f>IFERROR(VLOOKUP($G19,Table5[[QA]:[SCORING: SEA LEVEL RISE]], 6, FALSE),0)</f>
        <v>0</v>
      </c>
      <c r="N19" s="11"/>
    </row>
    <row r="20" spans="1:14" x14ac:dyDescent="0.35">
      <c r="A20" t="s">
        <v>67</v>
      </c>
      <c r="C20" s="163"/>
      <c r="D20" s="55" t="s">
        <v>68</v>
      </c>
      <c r="E20" s="50"/>
      <c r="G20" t="str">
        <f t="shared" si="0"/>
        <v>7b)Water quality</v>
      </c>
      <c r="H20" s="104">
        <f>IFERROR(VLOOKUP($G20,Table5[[QA]:[SCORING: SEA LEVEL RISE]], 2, FALSE),0)</f>
        <v>0</v>
      </c>
      <c r="I20" s="105">
        <f>IFERROR(VLOOKUP($G20,Table5[[QA]:[SCORING: SEA LEVEL RISE]], 3, FALSE),0)</f>
        <v>0</v>
      </c>
      <c r="J20" s="105">
        <f>IFERROR(VLOOKUP($G20,Table5[[QA]:[SCORING: SEA LEVEL RISE]], 4, FALSE),0)</f>
        <v>0</v>
      </c>
      <c r="K20" s="105">
        <f>IFERROR(VLOOKUP($G20,Table5[[QA]:[SCORING: SEA LEVEL RISE]], 5, FALSE),0)</f>
        <v>0</v>
      </c>
      <c r="L20" s="106">
        <f>IFERROR(VLOOKUP($G20,Table5[[QA]:[SCORING: SEA LEVEL RISE]], 6, FALSE),0)</f>
        <v>0</v>
      </c>
      <c r="N20" s="11"/>
    </row>
    <row r="21" spans="1:14" x14ac:dyDescent="0.35">
      <c r="A21" t="s">
        <v>69</v>
      </c>
      <c r="C21" s="163"/>
      <c r="D21" s="55" t="s">
        <v>70</v>
      </c>
      <c r="E21" s="50"/>
      <c r="G21" t="str">
        <f t="shared" si="0"/>
        <v>7c)Recharge or runoff reduction</v>
      </c>
      <c r="H21" s="104">
        <f>IFERROR(VLOOKUP($G21,Table5[[QA]:[SCORING: SEA LEVEL RISE]], 2, FALSE),0)</f>
        <v>0</v>
      </c>
      <c r="I21" s="105">
        <f>IFERROR(VLOOKUP($G21,Table5[[QA]:[SCORING: SEA LEVEL RISE]], 3, FALSE),0)</f>
        <v>0</v>
      </c>
      <c r="J21" s="105">
        <f>IFERROR(VLOOKUP($G21,Table5[[QA]:[SCORING: SEA LEVEL RISE]], 4, FALSE),0)</f>
        <v>0</v>
      </c>
      <c r="K21" s="105">
        <f>IFERROR(VLOOKUP($G21,Table5[[QA]:[SCORING: SEA LEVEL RISE]], 5, FALSE),0)</f>
        <v>0</v>
      </c>
      <c r="L21" s="106">
        <f>IFERROR(VLOOKUP($G21,Table5[[QA]:[SCORING: SEA LEVEL RISE]], 6, FALSE),0)</f>
        <v>0</v>
      </c>
      <c r="N21" s="11"/>
    </row>
    <row r="22" spans="1:14" x14ac:dyDescent="0.35">
      <c r="A22" t="s">
        <v>71</v>
      </c>
      <c r="C22" s="164"/>
      <c r="D22" s="55" t="s">
        <v>72</v>
      </c>
      <c r="E22" s="50"/>
      <c r="G22" t="str">
        <f t="shared" si="0"/>
        <v>7d)Rainwater harvesting</v>
      </c>
      <c r="H22" s="104">
        <f>IFERROR(VLOOKUP($G22,Table5[[QA]:[SCORING: SEA LEVEL RISE]], 2, FALSE),0)</f>
        <v>0</v>
      </c>
      <c r="I22" s="105">
        <f>IFERROR(VLOOKUP($G22,Table5[[QA]:[SCORING: SEA LEVEL RISE]], 3, FALSE),0)</f>
        <v>0</v>
      </c>
      <c r="J22" s="105">
        <f>IFERROR(VLOOKUP($G22,Table5[[QA]:[SCORING: SEA LEVEL RISE]], 4, FALSE),0)</f>
        <v>0</v>
      </c>
      <c r="K22" s="105">
        <f>IFERROR(VLOOKUP($G22,Table5[[QA]:[SCORING: SEA LEVEL RISE]], 5, FALSE),0)</f>
        <v>0</v>
      </c>
      <c r="L22" s="106">
        <f>IFERROR(VLOOKUP($G22,Table5[[QA]:[SCORING: SEA LEVEL RISE]], 6, FALSE),0)</f>
        <v>0</v>
      </c>
      <c r="N22" s="11"/>
    </row>
    <row r="23" spans="1:14" ht="29.9" customHeight="1" x14ac:dyDescent="0.35">
      <c r="A23" t="s">
        <v>73</v>
      </c>
      <c r="C23" s="165" t="s">
        <v>73</v>
      </c>
      <c r="D23" s="154" t="s">
        <v>74</v>
      </c>
      <c r="E23" s="154"/>
      <c r="G23" t="str">
        <f t="shared" si="0"/>
        <v>8)What storm or method is used to size practices for water quality or runoff reduction? (select "Yes" for all that apply)</v>
      </c>
      <c r="H23" s="166"/>
      <c r="I23" s="167"/>
      <c r="J23" s="167"/>
      <c r="K23" s="167"/>
      <c r="L23" s="168"/>
      <c r="N23" s="11"/>
    </row>
    <row r="24" spans="1:14" x14ac:dyDescent="0.35">
      <c r="A24" t="s">
        <v>75</v>
      </c>
      <c r="C24" s="163"/>
      <c r="D24" s="54" t="s">
        <v>76</v>
      </c>
      <c r="E24" s="50"/>
      <c r="G24" t="str">
        <f t="shared" si="0"/>
        <v>8a)No specific storm is identified</v>
      </c>
      <c r="H24" s="107">
        <f>IFERROR(VLOOKUP($G24,Table5[[QA]:[SCORING: SEA LEVEL RISE]], 2, FALSE),0)</f>
        <v>0</v>
      </c>
      <c r="I24" s="107">
        <f>IFERROR(VLOOKUP($G24,Table5[[QA]:[SCORING: SEA LEVEL RISE]], 3, FALSE),0)</f>
        <v>0</v>
      </c>
      <c r="J24" s="108">
        <f>IFERROR(VLOOKUP($G24,Table5[[QA]:[SCORING: SEA LEVEL RISE]], 4, FALSE),0)</f>
        <v>0</v>
      </c>
      <c r="K24" s="108">
        <f>IFERROR(VLOOKUP($G24,Table5[[QA]:[SCORING: SEA LEVEL RISE]], 5, FALSE),0)</f>
        <v>0</v>
      </c>
      <c r="L24" s="109">
        <f>IFERROR(VLOOKUP($G24,Table5[[QA]:[SCORING: SEA LEVEL RISE]], 6, FALSE),0)</f>
        <v>0</v>
      </c>
      <c r="N24" s="11"/>
    </row>
    <row r="25" spans="1:14" x14ac:dyDescent="0.35">
      <c r="A25" t="s">
        <v>77</v>
      </c>
      <c r="C25" s="163"/>
      <c r="D25" s="54" t="s">
        <v>78</v>
      </c>
      <c r="E25" s="50"/>
      <c r="G25" t="str">
        <f t="shared" si="0"/>
        <v>8b)90th percentile storm (often about 1")</v>
      </c>
      <c r="H25" s="107">
        <f>IFERROR(VLOOKUP($G25,Table5[[QA]:[SCORING: SEA LEVEL RISE]], 2, FALSE),0)</f>
        <v>0</v>
      </c>
      <c r="I25" s="108">
        <f>IFERROR(VLOOKUP($G25,Table5[[QA]:[SCORING: SEA LEVEL RISE]], 3, FALSE),0)</f>
        <v>0</v>
      </c>
      <c r="J25" s="108">
        <f>IFERROR(VLOOKUP($G25,Table5[[QA]:[SCORING: SEA LEVEL RISE]], 4, FALSE),0)</f>
        <v>0</v>
      </c>
      <c r="K25" s="108">
        <f>IFERROR(VLOOKUP($G25,Table5[[QA]:[SCORING: SEA LEVEL RISE]], 5, FALSE),0)</f>
        <v>0</v>
      </c>
      <c r="L25" s="109">
        <f>IFERROR(VLOOKUP($G25,Table5[[QA]:[SCORING: SEA LEVEL RISE]], 6, FALSE),0)</f>
        <v>0</v>
      </c>
      <c r="N25" s="11"/>
    </row>
    <row r="26" spans="1:14" x14ac:dyDescent="0.35">
      <c r="A26" t="s">
        <v>79</v>
      </c>
      <c r="C26" s="163"/>
      <c r="D26" s="54" t="s">
        <v>80</v>
      </c>
      <c r="E26" s="50"/>
      <c r="G26" t="str">
        <f t="shared" si="0"/>
        <v>8c)1-year, 24-hour storm event</v>
      </c>
      <c r="H26" s="107">
        <f>IFERROR(VLOOKUP($G26,Table5[[QA]:[SCORING: SEA LEVEL RISE]], 2, FALSE),0)</f>
        <v>0</v>
      </c>
      <c r="I26" s="108">
        <f>IFERROR(VLOOKUP($G26,Table5[[QA]:[SCORING: SEA LEVEL RISE]], 3, FALSE),0)</f>
        <v>0</v>
      </c>
      <c r="J26" s="108">
        <f>IFERROR(VLOOKUP($G26,Table5[[QA]:[SCORING: SEA LEVEL RISE]], 4, FALSE),0)</f>
        <v>0</v>
      </c>
      <c r="K26" s="108">
        <f>IFERROR(VLOOKUP($G26,Table5[[QA]:[SCORING: SEA LEVEL RISE]], 5, FALSE),0)</f>
        <v>0</v>
      </c>
      <c r="L26" s="109">
        <f>IFERROR(VLOOKUP($G26,Table5[[QA]:[SCORING: SEA LEVEL RISE]], 6, FALSE),0)</f>
        <v>0</v>
      </c>
      <c r="N26" s="11"/>
    </row>
    <row r="27" spans="1:14" x14ac:dyDescent="0.35">
      <c r="A27" t="s">
        <v>81</v>
      </c>
      <c r="C27" s="163"/>
      <c r="D27" s="54" t="s">
        <v>82</v>
      </c>
      <c r="E27" s="50"/>
      <c r="G27" t="str">
        <f t="shared" si="0"/>
        <v>8d)A short duration storm event (e.g., 5-yr, 1-hr)</v>
      </c>
      <c r="H27" s="107">
        <f>IFERROR(VLOOKUP($G27,Table5[[QA]:[SCORING: SEA LEVEL RISE]], 2, FALSE),0)</f>
        <v>0</v>
      </c>
      <c r="I27" s="108">
        <f>IFERROR(VLOOKUP($G27,Table5[[QA]:[SCORING: SEA LEVEL RISE]], 3, FALSE),0)</f>
        <v>0</v>
      </c>
      <c r="J27" s="108">
        <f>IFERROR(VLOOKUP($G27,Table5[[QA]:[SCORING: SEA LEVEL RISE]], 4, FALSE),0)</f>
        <v>0</v>
      </c>
      <c r="K27" s="108">
        <f>IFERROR(VLOOKUP($G27,Table5[[QA]:[SCORING: SEA LEVEL RISE]], 5, FALSE),0)</f>
        <v>0</v>
      </c>
      <c r="L27" s="109">
        <f>IFERROR(VLOOKUP($G27,Table5[[QA]:[SCORING: SEA LEVEL RISE]], 6, FALSE),0)</f>
        <v>0</v>
      </c>
      <c r="N27" s="11"/>
    </row>
    <row r="28" spans="1:14" x14ac:dyDescent="0.35">
      <c r="A28" t="s">
        <v>83</v>
      </c>
      <c r="C28" s="163"/>
      <c r="D28" s="54" t="s">
        <v>84</v>
      </c>
      <c r="E28" s="50"/>
      <c r="G28" t="str">
        <f t="shared" si="0"/>
        <v>8e)Water quality target based on long-term modeling or curves</v>
      </c>
      <c r="H28" s="107">
        <f>IFERROR(VLOOKUP($G28,Table5[[QA]:[SCORING: SEA LEVEL RISE]], 2, FALSE),0)</f>
        <v>0</v>
      </c>
      <c r="I28" s="108">
        <f>IFERROR(VLOOKUP($G28,Table5[[QA]:[SCORING: SEA LEVEL RISE]], 3, FALSE),0)</f>
        <v>0</v>
      </c>
      <c r="J28" s="108">
        <f>IFERROR(VLOOKUP($G28,Table5[[QA]:[SCORING: SEA LEVEL RISE]], 4, FALSE),0)</f>
        <v>0</v>
      </c>
      <c r="K28" s="108">
        <f>IFERROR(VLOOKUP($G28,Table5[[QA]:[SCORING: SEA LEVEL RISE]], 5, FALSE),0)</f>
        <v>0</v>
      </c>
      <c r="L28" s="109">
        <f>IFERROR(VLOOKUP($G28,Table5[[QA]:[SCORING: SEA LEVEL RISE]], 6, FALSE),0)</f>
        <v>0</v>
      </c>
      <c r="N28" s="11"/>
    </row>
    <row r="29" spans="1:14" x14ac:dyDescent="0.35">
      <c r="A29" t="s">
        <v>85</v>
      </c>
      <c r="C29" s="163"/>
      <c r="D29" s="54" t="s">
        <v>86</v>
      </c>
      <c r="E29" s="50"/>
      <c r="G29" t="str">
        <f t="shared" si="0"/>
        <v>8f)Traditional target pollutant (e.g., 80% total phosphorus removal presumed)</v>
      </c>
      <c r="H29" s="107">
        <f>IFERROR(VLOOKUP($G29,Table5[[QA]:[SCORING: SEA LEVEL RISE]], 2, FALSE),0)</f>
        <v>0</v>
      </c>
      <c r="I29" s="108">
        <f>IFERROR(VLOOKUP($G29,Table5[[QA]:[SCORING: SEA LEVEL RISE]], 3, FALSE),0)</f>
        <v>0</v>
      </c>
      <c r="J29" s="108">
        <f>IFERROR(VLOOKUP($G29,Table5[[QA]:[SCORING: SEA LEVEL RISE]], 4, FALSE),0)</f>
        <v>0</v>
      </c>
      <c r="K29" s="108">
        <f>IFERROR(VLOOKUP($G29,Table5[[QA]:[SCORING: SEA LEVEL RISE]], 5, FALSE),0)</f>
        <v>0</v>
      </c>
      <c r="L29" s="109">
        <f>IFERROR(VLOOKUP($G29,Table5[[QA]:[SCORING: SEA LEVEL RISE]], 6, FALSE),0)</f>
        <v>0</v>
      </c>
      <c r="N29" s="11"/>
    </row>
    <row r="30" spans="1:14" x14ac:dyDescent="0.35">
      <c r="A30" t="s">
        <v>87</v>
      </c>
      <c r="C30" s="164"/>
      <c r="D30" s="54" t="s">
        <v>88</v>
      </c>
      <c r="E30" s="50"/>
      <c r="G30" t="str">
        <f t="shared" si="0"/>
        <v>8g)Achieve "woods in good condition" or equivalent hydrology</v>
      </c>
      <c r="H30" s="107">
        <f>IFERROR(VLOOKUP($G30,Table5[[QA]:[SCORING: SEA LEVEL RISE]], 2, FALSE),0)</f>
        <v>0</v>
      </c>
      <c r="I30" s="108">
        <f>IFERROR(VLOOKUP($G30,Table5[[QA]:[SCORING: SEA LEVEL RISE]], 3, FALSE),0)</f>
        <v>0</v>
      </c>
      <c r="J30" s="108">
        <f>IFERROR(VLOOKUP($G30,Table5[[QA]:[SCORING: SEA LEVEL RISE]], 4, FALSE),0)</f>
        <v>0</v>
      </c>
      <c r="K30" s="108">
        <f>IFERROR(VLOOKUP($G30,Table5[[QA]:[SCORING: SEA LEVEL RISE]], 5, FALSE),0)</f>
        <v>0</v>
      </c>
      <c r="L30" s="109">
        <f>IFERROR(VLOOKUP($G30,Table5[[QA]:[SCORING: SEA LEVEL RISE]], 6, FALSE),0)</f>
        <v>0</v>
      </c>
      <c r="N30" s="11"/>
    </row>
    <row r="31" spans="1:14" ht="27" customHeight="1" x14ac:dyDescent="0.35">
      <c r="A31" t="s">
        <v>89</v>
      </c>
      <c r="C31" s="47" t="s">
        <v>89</v>
      </c>
      <c r="D31" s="48" t="s">
        <v>90</v>
      </c>
      <c r="E31" s="50"/>
      <c r="G31" t="str">
        <f t="shared" si="0"/>
        <v>9)Does water quality/runoff reduction sizing explicitly account for climate change (e.g., by evaluating a more intense or larger event)?</v>
      </c>
      <c r="H31" s="104">
        <f>IFERROR(VLOOKUP($G31,Table5[[QA]:[SCORING: SEA LEVEL RISE]], 2, FALSE),0)</f>
        <v>0</v>
      </c>
      <c r="I31" s="105">
        <f>IFERROR(VLOOKUP($G31,Table5[[QA]:[SCORING: SEA LEVEL RISE]], 3, FALSE),0)</f>
        <v>0</v>
      </c>
      <c r="J31" s="105">
        <f>IFERROR(VLOOKUP($G31,Table5[[QA]:[SCORING: SEA LEVEL RISE]], 4, FALSE),0)</f>
        <v>0</v>
      </c>
      <c r="K31" s="105">
        <f>IFERROR(VLOOKUP($G31,Table5[[QA]:[SCORING: SEA LEVEL RISE]], 5, FALSE),0)</f>
        <v>0</v>
      </c>
      <c r="L31" s="106">
        <f>IFERROR(VLOOKUP($G31,Table5[[QA]:[SCORING: SEA LEVEL RISE]], 6, FALSE),0)</f>
        <v>0</v>
      </c>
      <c r="N31" s="11"/>
    </row>
    <row r="32" spans="1:14" ht="29.15" customHeight="1" x14ac:dyDescent="0.35">
      <c r="A32" t="s">
        <v>91</v>
      </c>
      <c r="C32" s="45" t="s">
        <v>91</v>
      </c>
      <c r="D32" s="46" t="s">
        <v>92</v>
      </c>
      <c r="E32" s="50"/>
      <c r="G32" t="str">
        <f t="shared" si="0"/>
        <v>10)Do the standards provide guidance on how to size rainwater harvesting systems?</v>
      </c>
      <c r="H32" s="107">
        <f>IFERROR(VLOOKUP($G32,Table5[[QA]:[SCORING: SEA LEVEL RISE]], 2, FALSE),0)</f>
        <v>0</v>
      </c>
      <c r="I32" s="108">
        <f>IFERROR(VLOOKUP($G32,Table5[[QA]:[SCORING: SEA LEVEL RISE]], 3, FALSE),0)</f>
        <v>0</v>
      </c>
      <c r="J32" s="108">
        <f>IFERROR(VLOOKUP($G32,Table5[[QA]:[SCORING: SEA LEVEL RISE]], 4, FALSE),0)</f>
        <v>0</v>
      </c>
      <c r="K32" s="108">
        <f>IFERROR(VLOOKUP($G32,Table5[[QA]:[SCORING: SEA LEVEL RISE]], 5, FALSE),0)</f>
        <v>0</v>
      </c>
      <c r="L32" s="109">
        <f>IFERROR(VLOOKUP($G32,Table5[[QA]:[SCORING: SEA LEVEL RISE]], 6, FALSE),0)</f>
        <v>0</v>
      </c>
      <c r="N32" s="11"/>
    </row>
    <row r="33" spans="1:14" ht="29.9" customHeight="1" x14ac:dyDescent="0.35">
      <c r="A33" t="s">
        <v>93</v>
      </c>
      <c r="C33" s="162" t="s">
        <v>93</v>
      </c>
      <c r="D33" s="155" t="s">
        <v>94</v>
      </c>
      <c r="E33" s="155"/>
      <c r="G33" t="str">
        <f t="shared" si="0"/>
        <v>11)Do water quality or runoff reduction sizing design volumes vary based on the following? (Select "Yes" for all that apply)</v>
      </c>
      <c r="H33" s="169"/>
      <c r="I33" s="167"/>
      <c r="J33" s="167"/>
      <c r="K33" s="167"/>
      <c r="L33" s="168"/>
      <c r="N33" s="11"/>
    </row>
    <row r="34" spans="1:14" x14ac:dyDescent="0.35">
      <c r="A34" t="s">
        <v>95</v>
      </c>
      <c r="C34" s="163"/>
      <c r="D34" s="55" t="s">
        <v>96</v>
      </c>
      <c r="E34" s="50"/>
      <c r="G34" t="str">
        <f t="shared" si="0"/>
        <v>11a)Water quality of water resources (e.g., phosphorus-restricted basins or cold-water streams)</v>
      </c>
      <c r="H34" s="104">
        <f>IFERROR(VLOOKUP($G34,Table5[[QA]:[SCORING: SEA LEVEL RISE]], 2, FALSE),0)</f>
        <v>0</v>
      </c>
      <c r="I34" s="105">
        <f>IFERROR(VLOOKUP($G34,Table5[[QA]:[SCORING: SEA LEVEL RISE]], 3, FALSE),0)</f>
        <v>0</v>
      </c>
      <c r="J34" s="105">
        <f>IFERROR(VLOOKUP($G34,Table5[[QA]:[SCORING: SEA LEVEL RISE]], 4, FALSE),0)</f>
        <v>0</v>
      </c>
      <c r="K34" s="105">
        <f>IFERROR(VLOOKUP($G34,Table5[[QA]:[SCORING: SEA LEVEL RISE]], 5, FALSE),0)</f>
        <v>0</v>
      </c>
      <c r="L34" s="106">
        <f>IFERROR(VLOOKUP($G34,Table5[[QA]:[SCORING: SEA LEVEL RISE]], 6, FALSE),0)</f>
        <v>0</v>
      </c>
      <c r="N34" s="11"/>
    </row>
    <row r="35" spans="1:14" x14ac:dyDescent="0.35">
      <c r="A35" t="s">
        <v>97</v>
      </c>
      <c r="C35" s="163"/>
      <c r="D35" s="55" t="s">
        <v>98</v>
      </c>
      <c r="E35" s="50"/>
      <c r="G35" t="str">
        <f t="shared" si="0"/>
        <v>11b)Intensity or size of development</v>
      </c>
      <c r="H35" s="104">
        <f>IFERROR(VLOOKUP($G35,Table5[[QA]:[SCORING: SEA LEVEL RISE]], 2, FALSE),0)</f>
        <v>0</v>
      </c>
      <c r="I35" s="105">
        <f>IFERROR(VLOOKUP($G35,Table5[[QA]:[SCORING: SEA LEVEL RISE]], 3, FALSE),0)</f>
        <v>0</v>
      </c>
      <c r="J35" s="105">
        <f>IFERROR(VLOOKUP($G35,Table5[[QA]:[SCORING: SEA LEVEL RISE]], 4, FALSE),0)</f>
        <v>0</v>
      </c>
      <c r="K35" s="105">
        <f>IFERROR(VLOOKUP($G35,Table5[[QA]:[SCORING: SEA LEVEL RISE]], 5, FALSE),0)</f>
        <v>0</v>
      </c>
      <c r="L35" s="106">
        <f>IFERROR(VLOOKUP($G35,Table5[[QA]:[SCORING: SEA LEVEL RISE]], 6, FALSE),0)</f>
        <v>0</v>
      </c>
      <c r="N35" s="11"/>
    </row>
    <row r="36" spans="1:14" x14ac:dyDescent="0.35">
      <c r="A36" t="s">
        <v>99</v>
      </c>
      <c r="C36" s="164"/>
      <c r="D36" s="55" t="s">
        <v>100</v>
      </c>
      <c r="E36" s="50"/>
      <c r="G36" t="str">
        <f t="shared" si="0"/>
        <v>11c)Coastal vs non-coastal</v>
      </c>
      <c r="H36" s="104">
        <f>IFERROR(VLOOKUP($G36,Table5[[QA]:[SCORING: SEA LEVEL RISE]], 2, FALSE),0)</f>
        <v>0</v>
      </c>
      <c r="I36" s="105">
        <f>IFERROR(VLOOKUP($G36,Table5[[QA]:[SCORING: SEA LEVEL RISE]], 3, FALSE),0)</f>
        <v>0</v>
      </c>
      <c r="J36" s="105">
        <f>IFERROR(VLOOKUP($G36,Table5[[QA]:[SCORING: SEA LEVEL RISE]], 4, FALSE),0)</f>
        <v>0</v>
      </c>
      <c r="K36" s="105">
        <f>IFERROR(VLOOKUP($G36,Table5[[QA]:[SCORING: SEA LEVEL RISE]], 5, FALSE),0)</f>
        <v>0</v>
      </c>
      <c r="L36" s="106">
        <f>IFERROR(VLOOKUP($G36,Table5[[QA]:[SCORING: SEA LEVEL RISE]], 6, FALSE),0)</f>
        <v>0</v>
      </c>
      <c r="N36" s="11"/>
    </row>
    <row r="37" spans="1:14" ht="32.15" customHeight="1" x14ac:dyDescent="0.35">
      <c r="A37" t="s">
        <v>101</v>
      </c>
      <c r="C37" s="165" t="s">
        <v>101</v>
      </c>
      <c r="D37" s="154" t="s">
        <v>102</v>
      </c>
      <c r="E37" s="154"/>
      <c r="G37" t="str">
        <f t="shared" si="0"/>
        <v>12)Does water quantity (channel or flood protection) sizing vary based on the following? (Select "Yes" for all that apply)</v>
      </c>
      <c r="H37" s="166"/>
      <c r="I37" s="167"/>
      <c r="J37" s="167"/>
      <c r="K37" s="167"/>
      <c r="L37" s="168"/>
      <c r="N37" s="11"/>
    </row>
    <row r="38" spans="1:14" x14ac:dyDescent="0.35">
      <c r="A38" t="s">
        <v>103</v>
      </c>
      <c r="C38" s="163"/>
      <c r="D38" s="54" t="s">
        <v>104</v>
      </c>
      <c r="E38" s="50"/>
      <c r="G38" t="str">
        <f t="shared" si="0"/>
        <v>12a)Downstream hydrology/history of flooding</v>
      </c>
      <c r="H38" s="107">
        <f>IFERROR(VLOOKUP($G38,Table5[[QA]:[SCORING: SEA LEVEL RISE]], 2, FALSE),0)</f>
        <v>0</v>
      </c>
      <c r="I38" s="108">
        <f>IFERROR(VLOOKUP($G38,Table5[[QA]:[SCORING: SEA LEVEL RISE]], 3, FALSE),0)</f>
        <v>0</v>
      </c>
      <c r="J38" s="108">
        <f>IFERROR(VLOOKUP($G38,Table5[[QA]:[SCORING: SEA LEVEL RISE]], 4, FALSE),0)</f>
        <v>0</v>
      </c>
      <c r="K38" s="108">
        <f>IFERROR(VLOOKUP($G38,Table5[[QA]:[SCORING: SEA LEVEL RISE]], 5, FALSE),0)</f>
        <v>0</v>
      </c>
      <c r="L38" s="109">
        <f>IFERROR(VLOOKUP($G38,Table5[[QA]:[SCORING: SEA LEVEL RISE]], 6, FALSE),0)</f>
        <v>0</v>
      </c>
      <c r="N38" s="11"/>
    </row>
    <row r="39" spans="1:14" x14ac:dyDescent="0.35">
      <c r="A39" t="s">
        <v>105</v>
      </c>
      <c r="C39" s="163"/>
      <c r="D39" s="54" t="s">
        <v>106</v>
      </c>
      <c r="E39" s="50"/>
      <c r="G39" t="str">
        <f t="shared" si="0"/>
        <v>12b)Downstream channel condition</v>
      </c>
      <c r="H39" s="107">
        <f>IFERROR(VLOOKUP($G39,Table5[[QA]:[SCORING: SEA LEVEL RISE]], 2, FALSE),0)</f>
        <v>0</v>
      </c>
      <c r="I39" s="108">
        <f>IFERROR(VLOOKUP($G39,Table5[[QA]:[SCORING: SEA LEVEL RISE]], 3, FALSE),0)</f>
        <v>0</v>
      </c>
      <c r="J39" s="108">
        <f>IFERROR(VLOOKUP($G39,Table5[[QA]:[SCORING: SEA LEVEL RISE]], 4, FALSE),0)</f>
        <v>0</v>
      </c>
      <c r="K39" s="108">
        <f>IFERROR(VLOOKUP($G39,Table5[[QA]:[SCORING: SEA LEVEL RISE]], 5, FALSE),0)</f>
        <v>0</v>
      </c>
      <c r="L39" s="109">
        <f>IFERROR(VLOOKUP($G39,Table5[[QA]:[SCORING: SEA LEVEL RISE]], 6, FALSE),0)</f>
        <v>0</v>
      </c>
      <c r="N39" s="11"/>
    </row>
    <row r="40" spans="1:14" x14ac:dyDescent="0.35">
      <c r="A40" t="s">
        <v>107</v>
      </c>
      <c r="C40" s="164"/>
      <c r="D40" s="54" t="s">
        <v>108</v>
      </c>
      <c r="E40" s="50"/>
      <c r="G40" t="str">
        <f t="shared" si="0"/>
        <v>12c)Capacity of infrastructure/conveyances downstream of the development site</v>
      </c>
      <c r="H40" s="107">
        <f>IFERROR(VLOOKUP($G40,Table5[[QA]:[SCORING: SEA LEVEL RISE]], 2, FALSE),0)</f>
        <v>0</v>
      </c>
      <c r="I40" s="108">
        <f>IFERROR(VLOOKUP($G40,Table5[[QA]:[SCORING: SEA LEVEL RISE]], 3, FALSE),0)</f>
        <v>0</v>
      </c>
      <c r="J40" s="108">
        <f>IFERROR(VLOOKUP($G40,Table5[[QA]:[SCORING: SEA LEVEL RISE]], 4, FALSE),0)</f>
        <v>0</v>
      </c>
      <c r="K40" s="108">
        <f>IFERROR(VLOOKUP($G40,Table5[[QA]:[SCORING: SEA LEVEL RISE]], 5, FALSE),0)</f>
        <v>0</v>
      </c>
      <c r="L40" s="109">
        <f>IFERROR(VLOOKUP($G40,Table5[[QA]:[SCORING: SEA LEVEL RISE]], 6, FALSE),0)</f>
        <v>0</v>
      </c>
      <c r="N40" s="11"/>
    </row>
    <row r="41" spans="1:14" ht="21.65" customHeight="1" x14ac:dyDescent="0.35">
      <c r="C41" s="159" t="s">
        <v>109</v>
      </c>
      <c r="D41" s="159"/>
      <c r="E41" s="159"/>
      <c r="G41" t="str">
        <f t="shared" si="0"/>
        <v/>
      </c>
      <c r="H41" s="173"/>
      <c r="I41" s="167"/>
      <c r="J41" s="167"/>
      <c r="K41" s="167"/>
      <c r="L41" s="168"/>
      <c r="N41" s="11"/>
    </row>
    <row r="42" spans="1:14" ht="29.9" customHeight="1" x14ac:dyDescent="0.35">
      <c r="A42" t="s">
        <v>110</v>
      </c>
      <c r="C42" s="47" t="s">
        <v>110</v>
      </c>
      <c r="D42" s="48" t="s">
        <v>111</v>
      </c>
      <c r="E42" s="50"/>
      <c r="G42" t="str">
        <f t="shared" si="0"/>
        <v>13)Do the standards include a list of acceptable practices to meet water quality or runoff reduction criteria?</v>
      </c>
      <c r="H42" s="104">
        <f>IFERROR(VLOOKUP($G42,Table5[[QA]:[SCORING: SEA LEVEL RISE]], 2, FALSE),0)</f>
        <v>0</v>
      </c>
      <c r="I42" s="105">
        <f>IFERROR(VLOOKUP($G42,Table5[[QA]:[SCORING: SEA LEVEL RISE]], 3, FALSE),0)</f>
        <v>0</v>
      </c>
      <c r="J42" s="105">
        <f>IFERROR(VLOOKUP($G42,Table5[[QA]:[SCORING: SEA LEVEL RISE]], 4, FALSE),0)</f>
        <v>0</v>
      </c>
      <c r="K42" s="105">
        <f>IFERROR(VLOOKUP($G42,Table5[[QA]:[SCORING: SEA LEVEL RISE]], 5, FALSE),0)</f>
        <v>0</v>
      </c>
      <c r="L42" s="106">
        <f>IFERROR(VLOOKUP($G42,Table5[[QA]:[SCORING: SEA LEVEL RISE]], 6, FALSE),0)</f>
        <v>0</v>
      </c>
      <c r="N42" s="11"/>
    </row>
    <row r="43" spans="1:14" ht="42.65" customHeight="1" x14ac:dyDescent="0.35">
      <c r="A43" t="s">
        <v>112</v>
      </c>
      <c r="C43" s="45" t="s">
        <v>112</v>
      </c>
      <c r="D43" s="46" t="s">
        <v>113</v>
      </c>
      <c r="E43" s="50"/>
      <c r="G43" t="str">
        <f t="shared" si="0"/>
        <v>14)Do standards promote or require designers to consider site design features that minimize impervious cover and protect critical natural areas (Low Impact Development, Environmental Site Design or Better Site Design).</v>
      </c>
      <c r="H43" s="107">
        <f>IFERROR(VLOOKUP($G43,Table5[[QA]:[SCORING: SEA LEVEL RISE]], 2, FALSE),0)</f>
        <v>0</v>
      </c>
      <c r="I43" s="108">
        <f>IFERROR(VLOOKUP($G43,Table5[[QA]:[SCORING: SEA LEVEL RISE]], 3, FALSE),0)</f>
        <v>0</v>
      </c>
      <c r="J43" s="108">
        <f>IFERROR(VLOOKUP($G43,Table5[[QA]:[SCORING: SEA LEVEL RISE]], 4, FALSE),0)</f>
        <v>0</v>
      </c>
      <c r="K43" s="108">
        <f>IFERROR(VLOOKUP($G43,Table5[[QA]:[SCORING: SEA LEVEL RISE]], 5, FALSE),0)</f>
        <v>0</v>
      </c>
      <c r="L43" s="109">
        <f>IFERROR(VLOOKUP($G43,Table5[[QA]:[SCORING: SEA LEVEL RISE]], 6, FALSE),0)</f>
        <v>0</v>
      </c>
      <c r="N43" s="11"/>
    </row>
    <row r="44" spans="1:14" ht="29.9" customHeight="1" x14ac:dyDescent="0.35">
      <c r="A44" t="s">
        <v>114</v>
      </c>
      <c r="C44" s="47" t="s">
        <v>114</v>
      </c>
      <c r="D44" s="48" t="s">
        <v>115</v>
      </c>
      <c r="E44" s="50"/>
      <c r="G44" t="str">
        <f t="shared" si="0"/>
        <v xml:space="preserve">15)Do they explicitly prohibit practices that consume water (i.e. practices with a permanent pool of water or that may rely on irrigation)?  </v>
      </c>
      <c r="H44" s="104">
        <f>IFERROR(VLOOKUP($G44,Table5[[QA]:[SCORING: SEA LEVEL RISE]], 2, FALSE),0)</f>
        <v>0</v>
      </c>
      <c r="I44" s="105">
        <f>IFERROR(VLOOKUP($G44,Table5[[QA]:[SCORING: SEA LEVEL RISE]], 3, FALSE),0)</f>
        <v>0</v>
      </c>
      <c r="J44" s="105">
        <f>IFERROR(VLOOKUP($G44,Table5[[QA]:[SCORING: SEA LEVEL RISE]], 4, FALSE),0)</f>
        <v>0</v>
      </c>
      <c r="K44" s="105">
        <f>IFERROR(VLOOKUP($G44,Table5[[QA]:[SCORING: SEA LEVEL RISE]], 5, FALSE),0)</f>
        <v>0</v>
      </c>
      <c r="L44" s="106">
        <f>IFERROR(VLOOKUP($G44,Table5[[QA]:[SCORING: SEA LEVEL RISE]], 6, FALSE),0)</f>
        <v>0</v>
      </c>
      <c r="N44" s="11"/>
    </row>
    <row r="45" spans="1:14" ht="42.65" customHeight="1" x14ac:dyDescent="0.35">
      <c r="A45" t="s">
        <v>116</v>
      </c>
      <c r="C45" s="45" t="s">
        <v>116</v>
      </c>
      <c r="D45" s="46" t="s">
        <v>117</v>
      </c>
      <c r="E45" s="50"/>
      <c r="G45" t="str">
        <f t="shared" si="0"/>
        <v>16)Do standards  incorporate any method to encourage the use of Green Infrastructure (GI) practices such as a hierarchy or a runoff reduction target that cannot be met without GI?</v>
      </c>
      <c r="H45" s="107">
        <f>IFERROR(VLOOKUP($G45,Table5[[QA]:[SCORING: SEA LEVEL RISE]], 2, FALSE),0)</f>
        <v>0</v>
      </c>
      <c r="I45" s="108">
        <f>IFERROR(VLOOKUP($G45,Table5[[QA]:[SCORING: SEA LEVEL RISE]], 3, FALSE),0)</f>
        <v>0</v>
      </c>
      <c r="J45" s="108">
        <f>IFERROR(VLOOKUP($G45,Table5[[QA]:[SCORING: SEA LEVEL RISE]], 4, FALSE),0)</f>
        <v>0</v>
      </c>
      <c r="K45" s="108">
        <f>IFERROR(VLOOKUP($G45,Table5[[QA]:[SCORING: SEA LEVEL RISE]], 5, FALSE),0)</f>
        <v>0</v>
      </c>
      <c r="L45" s="109">
        <f>IFERROR(VLOOKUP($G45,Table5[[QA]:[SCORING: SEA LEVEL RISE]], 6, FALSE),0)</f>
        <v>0</v>
      </c>
      <c r="N45" s="11"/>
    </row>
    <row r="46" spans="1:14" ht="42.65" customHeight="1" x14ac:dyDescent="0.35">
      <c r="A46" t="s">
        <v>118</v>
      </c>
      <c r="C46" s="47" t="s">
        <v>118</v>
      </c>
      <c r="D46" s="48" t="s">
        <v>119</v>
      </c>
      <c r="E46" s="50"/>
      <c r="G46" t="str">
        <f t="shared" si="0"/>
        <v>17)Do standards promote natural areas conservation (methods may include explicit vegetation targets, credits applied for natural areas conservation, or identifying specific areas that are off limits)?</v>
      </c>
      <c r="H46" s="104">
        <f>IFERROR(VLOOKUP($G46,Table5[[QA]:[SCORING: SEA LEVEL RISE]], 2, FALSE),0)</f>
        <v>0</v>
      </c>
      <c r="I46" s="105">
        <f>IFERROR(VLOOKUP($G46,Table5[[QA]:[SCORING: SEA LEVEL RISE]], 3, FALSE),0)</f>
        <v>0</v>
      </c>
      <c r="J46" s="105">
        <f>IFERROR(VLOOKUP($G46,Table5[[QA]:[SCORING: SEA LEVEL RISE]], 4, FALSE),0)</f>
        <v>0</v>
      </c>
      <c r="K46" s="105">
        <f>IFERROR(VLOOKUP($G46,Table5[[QA]:[SCORING: SEA LEVEL RISE]], 5, FALSE),0)</f>
        <v>0</v>
      </c>
      <c r="L46" s="106">
        <f>IFERROR(VLOOKUP($G46,Table5[[QA]:[SCORING: SEA LEVEL RISE]], 6, FALSE),0)</f>
        <v>0</v>
      </c>
      <c r="N46" s="11"/>
    </row>
    <row r="47" spans="1:14" ht="29.9" customHeight="1" x14ac:dyDescent="0.35">
      <c r="A47" t="s">
        <v>120</v>
      </c>
      <c r="C47" s="45" t="s">
        <v>120</v>
      </c>
      <c r="D47" s="46" t="s">
        <v>121</v>
      </c>
      <c r="E47" s="50"/>
      <c r="G47" t="str">
        <f t="shared" si="0"/>
        <v>18)Is there a specific credit such as a reduction in required volume applied for planting or preserving trees?</v>
      </c>
      <c r="H47" s="107">
        <f>IFERROR(VLOOKUP($G47,Table5[[QA]:[SCORING: SEA LEVEL RISE]], 2, FALSE),0)</f>
        <v>0</v>
      </c>
      <c r="I47" s="108">
        <f>IFERROR(VLOOKUP($G47,Table5[[QA]:[SCORING: SEA LEVEL RISE]], 3, FALSE),0)</f>
        <v>0</v>
      </c>
      <c r="J47" s="108">
        <f>IFERROR(VLOOKUP($G47,Table5[[QA]:[SCORING: SEA LEVEL RISE]], 4, FALSE),0)</f>
        <v>0</v>
      </c>
      <c r="K47" s="108">
        <f>IFERROR(VLOOKUP($G47,Table5[[QA]:[SCORING: SEA LEVEL RISE]], 5, FALSE),0)</f>
        <v>0</v>
      </c>
      <c r="L47" s="109">
        <f>IFERROR(VLOOKUP($G47,Table5[[QA]:[SCORING: SEA LEVEL RISE]], 6, FALSE),0)</f>
        <v>0</v>
      </c>
      <c r="N47" s="11"/>
    </row>
    <row r="48" spans="1:14" ht="29.9" customHeight="1" x14ac:dyDescent="0.35">
      <c r="A48" t="s">
        <v>122</v>
      </c>
      <c r="C48" s="162" t="s">
        <v>122</v>
      </c>
      <c r="D48" s="155" t="s">
        <v>123</v>
      </c>
      <c r="E48" s="155"/>
      <c r="G48" t="str">
        <f t="shared" si="0"/>
        <v>19)Does practice siting account for the following climate change aspects? (select "Yes" for all that apply)</v>
      </c>
      <c r="H48" s="169"/>
      <c r="I48" s="167"/>
      <c r="J48" s="167"/>
      <c r="K48" s="167"/>
      <c r="L48" s="168"/>
      <c r="N48" s="11"/>
    </row>
    <row r="49" spans="1:14" x14ac:dyDescent="0.35">
      <c r="A49" t="s">
        <v>124</v>
      </c>
      <c r="C49" s="163"/>
      <c r="D49" s="55" t="s">
        <v>125</v>
      </c>
      <c r="E49" s="50"/>
      <c r="G49" t="str">
        <f t="shared" si="0"/>
        <v>19a)Rising groundwater</v>
      </c>
      <c r="H49" s="104">
        <f>IFERROR(VLOOKUP($G49,Table5[[QA]:[SCORING: SEA LEVEL RISE]], 2, FALSE),0)</f>
        <v>0</v>
      </c>
      <c r="I49" s="105">
        <f>IFERROR(VLOOKUP($G49,Table5[[QA]:[SCORING: SEA LEVEL RISE]], 3, FALSE),0)</f>
        <v>0</v>
      </c>
      <c r="J49" s="105">
        <f>IFERROR(VLOOKUP($G49,Table5[[QA]:[SCORING: SEA LEVEL RISE]], 4, FALSE),0)</f>
        <v>0</v>
      </c>
      <c r="K49" s="105">
        <f>IFERROR(VLOOKUP($G49,Table5[[QA]:[SCORING: SEA LEVEL RISE]], 5, FALSE),0)</f>
        <v>0</v>
      </c>
      <c r="L49" s="106">
        <f>IFERROR(VLOOKUP($G49,Table5[[QA]:[SCORING: SEA LEVEL RISE]], 6, FALSE),0)</f>
        <v>0</v>
      </c>
      <c r="N49" s="11"/>
    </row>
    <row r="50" spans="1:14" x14ac:dyDescent="0.35">
      <c r="A50" t="s">
        <v>126</v>
      </c>
      <c r="C50" s="163"/>
      <c r="D50" s="55" t="s">
        <v>127</v>
      </c>
      <c r="E50" s="50"/>
      <c r="G50" t="str">
        <f t="shared" si="0"/>
        <v>19b)Changing floodplains</v>
      </c>
      <c r="H50" s="104">
        <f>IFERROR(VLOOKUP($G50,Table5[[QA]:[SCORING: SEA LEVEL RISE]], 2, FALSE),0)</f>
        <v>0</v>
      </c>
      <c r="I50" s="105">
        <f>IFERROR(VLOOKUP($G50,Table5[[QA]:[SCORING: SEA LEVEL RISE]], 3, FALSE),0)</f>
        <v>0</v>
      </c>
      <c r="J50" s="105">
        <f>IFERROR(VLOOKUP($G50,Table5[[QA]:[SCORING: SEA LEVEL RISE]], 4, FALSE),0)</f>
        <v>0</v>
      </c>
      <c r="K50" s="105">
        <f>IFERROR(VLOOKUP($G50,Table5[[QA]:[SCORING: SEA LEVEL RISE]], 5, FALSE),0)</f>
        <v>0</v>
      </c>
      <c r="L50" s="106">
        <f>IFERROR(VLOOKUP($G50,Table5[[QA]:[SCORING: SEA LEVEL RISE]], 6, FALSE),0)</f>
        <v>0</v>
      </c>
      <c r="N50" s="11"/>
    </row>
    <row r="51" spans="1:14" x14ac:dyDescent="0.35">
      <c r="A51" t="s">
        <v>128</v>
      </c>
      <c r="C51" s="163"/>
      <c r="D51" s="55" t="s">
        <v>129</v>
      </c>
      <c r="E51" s="50"/>
      <c r="G51" t="str">
        <f t="shared" si="0"/>
        <v>19c)Providing additional "right of way" for practices during large or extreme storms</v>
      </c>
      <c r="H51" s="104">
        <f>IFERROR(VLOOKUP($G51,Table5[[QA]:[SCORING: SEA LEVEL RISE]], 2, FALSE),0)</f>
        <v>0</v>
      </c>
      <c r="I51" s="105">
        <f>IFERROR(VLOOKUP($G51,Table5[[QA]:[SCORING: SEA LEVEL RISE]], 3, FALSE),0)</f>
        <v>0</v>
      </c>
      <c r="J51" s="105">
        <f>IFERROR(VLOOKUP($G51,Table5[[QA]:[SCORING: SEA LEVEL RISE]], 4, FALSE),0)</f>
        <v>0</v>
      </c>
      <c r="K51" s="105">
        <f>IFERROR(VLOOKUP($G51,Table5[[QA]:[SCORING: SEA LEVEL RISE]], 5, FALSE),0)</f>
        <v>0</v>
      </c>
      <c r="L51" s="106">
        <f>IFERROR(VLOOKUP($G51,Table5[[QA]:[SCORING: SEA LEVEL RISE]], 6, FALSE),0)</f>
        <v>0</v>
      </c>
      <c r="N51" s="11"/>
    </row>
    <row r="52" spans="1:14" x14ac:dyDescent="0.35">
      <c r="A52" t="s">
        <v>130</v>
      </c>
      <c r="C52" s="163"/>
      <c r="D52" s="55" t="s">
        <v>131</v>
      </c>
      <c r="E52" s="50"/>
      <c r="G52" t="str">
        <f t="shared" si="0"/>
        <v>19d)Sea level rise</v>
      </c>
      <c r="H52" s="104">
        <f>IFERROR(VLOOKUP($G52,Table5[[QA]:[SCORING: SEA LEVEL RISE]], 2, FALSE),0)</f>
        <v>0</v>
      </c>
      <c r="I52" s="105">
        <f>IFERROR(VLOOKUP($G52,Table5[[QA]:[SCORING: SEA LEVEL RISE]], 3, FALSE),0)</f>
        <v>0</v>
      </c>
      <c r="J52" s="105">
        <f>IFERROR(VLOOKUP($G52,Table5[[QA]:[SCORING: SEA LEVEL RISE]], 4, FALSE),0)</f>
        <v>0</v>
      </c>
      <c r="K52" s="105">
        <f>IFERROR(VLOOKUP($G52,Table5[[QA]:[SCORING: SEA LEVEL RISE]], 5, FALSE),0)</f>
        <v>0</v>
      </c>
      <c r="L52" s="106">
        <f>IFERROR(VLOOKUP($G52,Table5[[QA]:[SCORING: SEA LEVEL RISE]], 6, FALSE),0)</f>
        <v>0</v>
      </c>
      <c r="N52" s="11"/>
    </row>
    <row r="53" spans="1:14" x14ac:dyDescent="0.35">
      <c r="A53" t="s">
        <v>132</v>
      </c>
      <c r="C53" s="164"/>
      <c r="D53" s="55" t="s">
        <v>133</v>
      </c>
      <c r="E53" s="50"/>
      <c r="G53" t="str">
        <f t="shared" si="0"/>
        <v>19e)Salt water intrusion</v>
      </c>
      <c r="H53" s="104">
        <f>IFERROR(VLOOKUP($G53,Table5[[QA]:[SCORING: SEA LEVEL RISE]], 2, FALSE),0)</f>
        <v>0</v>
      </c>
      <c r="I53" s="105">
        <f>IFERROR(VLOOKUP($G53,Table5[[QA]:[SCORING: SEA LEVEL RISE]], 3, FALSE),0)</f>
        <v>0</v>
      </c>
      <c r="J53" s="105">
        <f>IFERROR(VLOOKUP($G53,Table5[[QA]:[SCORING: SEA LEVEL RISE]], 4, FALSE),0)</f>
        <v>0</v>
      </c>
      <c r="K53" s="105">
        <f>IFERROR(VLOOKUP($G53,Table5[[QA]:[SCORING: SEA LEVEL RISE]], 5, FALSE),0)</f>
        <v>0</v>
      </c>
      <c r="L53" s="106">
        <f>IFERROR(VLOOKUP($G53,Table5[[QA]:[SCORING: SEA LEVEL RISE]], 6, FALSE),0)</f>
        <v>0</v>
      </c>
      <c r="N53" s="11"/>
    </row>
    <row r="54" spans="1:14" ht="25.5" customHeight="1" x14ac:dyDescent="0.35">
      <c r="C54" s="159" t="s">
        <v>134</v>
      </c>
      <c r="D54" s="159"/>
      <c r="E54" s="159"/>
      <c r="G54" t="str">
        <f t="shared" si="0"/>
        <v/>
      </c>
      <c r="H54" s="173"/>
      <c r="I54" s="167"/>
      <c r="J54" s="167"/>
      <c r="K54" s="167"/>
      <c r="L54" s="168"/>
      <c r="N54" s="11"/>
    </row>
    <row r="55" spans="1:14" ht="30" customHeight="1" x14ac:dyDescent="0.35">
      <c r="A55" t="s">
        <v>135</v>
      </c>
      <c r="C55" s="45" t="s">
        <v>135</v>
      </c>
      <c r="D55" s="46" t="s">
        <v>136</v>
      </c>
      <c r="E55" s="50"/>
      <c r="G55" t="str">
        <f t="shared" si="0"/>
        <v>20)What storm is used to define how the water quality or retention storm is conveyed to practices?</v>
      </c>
      <c r="H55" s="107">
        <f>IFERROR(VLOOKUP($G55,Table5[[QA]:[SCORING: SEA LEVEL RISE]], 2, FALSE),0)</f>
        <v>0</v>
      </c>
      <c r="I55" s="108">
        <f>IFERROR(VLOOKUP($G55,Table5[[QA]:[SCORING: SEA LEVEL RISE]], 3, FALSE),0)</f>
        <v>0</v>
      </c>
      <c r="J55" s="108">
        <f>IFERROR(VLOOKUP($G55,Table5[[QA]:[SCORING: SEA LEVEL RISE]], 4, FALSE),0)</f>
        <v>0</v>
      </c>
      <c r="K55" s="108">
        <f>IFERROR(VLOOKUP($G55,Table5[[QA]:[SCORING: SEA LEVEL RISE]], 5, FALSE),0)</f>
        <v>0</v>
      </c>
      <c r="L55" s="109">
        <f>IFERROR(VLOOKUP($G55,Table5[[QA]:[SCORING: SEA LEVEL RISE]], 6, FALSE),0)</f>
        <v>0</v>
      </c>
      <c r="N55" s="11"/>
    </row>
    <row r="56" spans="1:14" ht="29.9" customHeight="1" x14ac:dyDescent="0.35">
      <c r="A56" t="s">
        <v>137</v>
      </c>
      <c r="C56" s="47" t="s">
        <v>137</v>
      </c>
      <c r="D56" s="48" t="s">
        <v>138</v>
      </c>
      <c r="E56" s="50"/>
      <c r="G56" t="str">
        <f t="shared" si="0"/>
        <v>21)What method of conservative conveyance is incoporated to accommodate climate change?</v>
      </c>
      <c r="H56" s="104">
        <f>IFERROR(VLOOKUP($G56,Table5[[QA]:[SCORING: SEA LEVEL RISE]], 2, FALSE),0)</f>
        <v>0</v>
      </c>
      <c r="I56" s="105">
        <f>IFERROR(VLOOKUP($G56,Table5[[QA]:[SCORING: SEA LEVEL RISE]], 3, FALSE),0)</f>
        <v>0</v>
      </c>
      <c r="J56" s="105">
        <f>IFERROR(VLOOKUP($G56,Table5[[QA]:[SCORING: SEA LEVEL RISE]], 4, FALSE),0)</f>
        <v>0</v>
      </c>
      <c r="K56" s="105">
        <f>IFERROR(VLOOKUP($G56,Table5[[QA]:[SCORING: SEA LEVEL RISE]], 5, FALSE),0)</f>
        <v>0</v>
      </c>
      <c r="L56" s="106">
        <f>IFERROR(VLOOKUP($G56,Table5[[QA]:[SCORING: SEA LEVEL RISE]], 6, FALSE),0)</f>
        <v>0</v>
      </c>
      <c r="N56" s="11"/>
    </row>
    <row r="57" spans="1:14" ht="29.9" customHeight="1" x14ac:dyDescent="0.35">
      <c r="A57" t="s">
        <v>139</v>
      </c>
      <c r="C57" s="165" t="s">
        <v>139</v>
      </c>
      <c r="D57" s="154" t="s">
        <v>140</v>
      </c>
      <c r="E57" s="154"/>
      <c r="G57" t="str">
        <f t="shared" si="0"/>
        <v>22)Does inlet design incorporate design features that limit erosion from high intensity events? (select "Yes" for all that apply)</v>
      </c>
      <c r="H57" s="166"/>
      <c r="I57" s="167"/>
      <c r="J57" s="167"/>
      <c r="K57" s="167"/>
      <c r="L57" s="168"/>
      <c r="N57" s="11"/>
    </row>
    <row r="58" spans="1:14" x14ac:dyDescent="0.35">
      <c r="A58" t="s">
        <v>141</v>
      </c>
      <c r="C58" s="163"/>
      <c r="D58" s="56" t="s">
        <v>142</v>
      </c>
      <c r="E58" s="50"/>
      <c r="G58" t="str">
        <f t="shared" si="0"/>
        <v>22a)Detention storage provided at the practice inlet to reduce peak discharge</v>
      </c>
      <c r="H58" s="107">
        <f>IFERROR(VLOOKUP($G58,Table5[[QA]:[SCORING: SEA LEVEL RISE]], 2, FALSE),0)</f>
        <v>0</v>
      </c>
      <c r="I58" s="108">
        <f>IFERROR(VLOOKUP($G58,Table5[[QA]:[SCORING: SEA LEVEL RISE]], 3, FALSE),0)</f>
        <v>0</v>
      </c>
      <c r="J58" s="108">
        <f>IFERROR(VLOOKUP($G58,Table5[[QA]:[SCORING: SEA LEVEL RISE]], 4, FALSE),0)</f>
        <v>0</v>
      </c>
      <c r="K58" s="108">
        <f>IFERROR(VLOOKUP($G58,Table5[[QA]:[SCORING: SEA LEVEL RISE]], 5, FALSE),0)</f>
        <v>0</v>
      </c>
      <c r="L58" s="109">
        <f>IFERROR(VLOOKUP($G58,Table5[[QA]:[SCORING: SEA LEVEL RISE]], 6, FALSE),0)</f>
        <v>0</v>
      </c>
      <c r="N58" s="11"/>
    </row>
    <row r="59" spans="1:14" x14ac:dyDescent="0.35">
      <c r="A59" t="s">
        <v>143</v>
      </c>
      <c r="C59" s="163"/>
      <c r="D59" s="56" t="s">
        <v>144</v>
      </c>
      <c r="E59" s="50"/>
      <c r="G59" t="str">
        <f t="shared" si="0"/>
        <v>22b)Practices designed off-line by using flow-diversion practices</v>
      </c>
      <c r="H59" s="107">
        <f>IFERROR(VLOOKUP($G59,Table5[[QA]:[SCORING: SEA LEVEL RISE]], 2, FALSE),0)</f>
        <v>0</v>
      </c>
      <c r="I59" s="108">
        <f>IFERROR(VLOOKUP($G59,Table5[[QA]:[SCORING: SEA LEVEL RISE]], 3, FALSE),0)</f>
        <v>0</v>
      </c>
      <c r="J59" s="108">
        <f>IFERROR(VLOOKUP($G59,Table5[[QA]:[SCORING: SEA LEVEL RISE]], 4, FALSE),0)</f>
        <v>0</v>
      </c>
      <c r="K59" s="108">
        <f>IFERROR(VLOOKUP($G59,Table5[[QA]:[SCORING: SEA LEVEL RISE]], 5, FALSE),0)</f>
        <v>0</v>
      </c>
      <c r="L59" s="109">
        <f>IFERROR(VLOOKUP($G59,Table5[[QA]:[SCORING: SEA LEVEL RISE]], 6, FALSE),0)</f>
        <v>0</v>
      </c>
      <c r="N59" s="11"/>
    </row>
    <row r="60" spans="1:14" x14ac:dyDescent="0.35">
      <c r="A60" t="s">
        <v>145</v>
      </c>
      <c r="C60" s="163"/>
      <c r="D60" s="56" t="s">
        <v>146</v>
      </c>
      <c r="E60" s="50"/>
      <c r="G60" t="str">
        <f t="shared" si="0"/>
        <v>22c)Prescribe non-erosive conveyance of a specific design storm</v>
      </c>
      <c r="H60" s="107">
        <f>IFERROR(VLOOKUP($G60,Table5[[QA]:[SCORING: SEA LEVEL RISE]], 2, FALSE),0)</f>
        <v>0</v>
      </c>
      <c r="I60" s="108">
        <f>IFERROR(VLOOKUP($G60,Table5[[QA]:[SCORING: SEA LEVEL RISE]], 3, FALSE),0)</f>
        <v>0</v>
      </c>
      <c r="J60" s="108">
        <f>IFERROR(VLOOKUP($G60,Table5[[QA]:[SCORING: SEA LEVEL RISE]], 4, FALSE),0)</f>
        <v>0</v>
      </c>
      <c r="K60" s="108">
        <f>IFERROR(VLOOKUP($G60,Table5[[QA]:[SCORING: SEA LEVEL RISE]], 5, FALSE),0)</f>
        <v>0</v>
      </c>
      <c r="L60" s="109">
        <f>IFERROR(VLOOKUP($G60,Table5[[QA]:[SCORING: SEA LEVEL RISE]], 6, FALSE),0)</f>
        <v>0</v>
      </c>
      <c r="N60" s="11"/>
    </row>
    <row r="61" spans="1:14" x14ac:dyDescent="0.35">
      <c r="A61" t="s">
        <v>147</v>
      </c>
      <c r="C61" s="164"/>
      <c r="D61" s="56" t="s">
        <v>148</v>
      </c>
      <c r="E61" s="50"/>
      <c r="G61" t="str">
        <f t="shared" si="0"/>
        <v>22d)Design ensures that the inlet and practice has the capacity to convey intense storm events</v>
      </c>
      <c r="H61" s="107">
        <f>IFERROR(VLOOKUP($G61,Table5[[QA]:[SCORING: SEA LEVEL RISE]], 2, FALSE),0)</f>
        <v>0</v>
      </c>
      <c r="I61" s="108">
        <f>IFERROR(VLOOKUP($G61,Table5[[QA]:[SCORING: SEA LEVEL RISE]], 3, FALSE),0)</f>
        <v>0</v>
      </c>
      <c r="J61" s="108">
        <f>IFERROR(VLOOKUP($G61,Table5[[QA]:[SCORING: SEA LEVEL RISE]], 4, FALSE),0)</f>
        <v>0</v>
      </c>
      <c r="K61" s="108">
        <f>IFERROR(VLOOKUP($G61,Table5[[QA]:[SCORING: SEA LEVEL RISE]], 5, FALSE),0)</f>
        <v>0</v>
      </c>
      <c r="L61" s="109">
        <f>IFERROR(VLOOKUP($G61,Table5[[QA]:[SCORING: SEA LEVEL RISE]], 6, FALSE),0)</f>
        <v>0</v>
      </c>
      <c r="N61" s="11"/>
    </row>
    <row r="62" spans="1:14" ht="29.9" customHeight="1" x14ac:dyDescent="0.35">
      <c r="A62" t="s">
        <v>149</v>
      </c>
      <c r="C62" s="47" t="s">
        <v>149</v>
      </c>
      <c r="D62" s="48" t="s">
        <v>150</v>
      </c>
      <c r="E62" s="50"/>
      <c r="G62" t="str">
        <f t="shared" si="0"/>
        <v xml:space="preserve">23)Do the standards require pretreatment? </v>
      </c>
      <c r="H62" s="104">
        <f>IFERROR(VLOOKUP($G62,Table5[[QA]:[SCORING: SEA LEVEL RISE]], 2, FALSE),0)</f>
        <v>0</v>
      </c>
      <c r="I62" s="105">
        <f>IFERROR(VLOOKUP($G62,Table5[[QA]:[SCORING: SEA LEVEL RISE]], 3, FALSE),0)</f>
        <v>0</v>
      </c>
      <c r="J62" s="105">
        <f>IFERROR(VLOOKUP($G62,Table5[[QA]:[SCORING: SEA LEVEL RISE]], 4, FALSE),0)</f>
        <v>0</v>
      </c>
      <c r="K62" s="105">
        <f>IFERROR(VLOOKUP($G62,Table5[[QA]:[SCORING: SEA LEVEL RISE]], 5, FALSE),0)</f>
        <v>0</v>
      </c>
      <c r="L62" s="106">
        <f>IFERROR(VLOOKUP($G62,Table5[[QA]:[SCORING: SEA LEVEL RISE]], 6, FALSE),0)</f>
        <v>0</v>
      </c>
      <c r="N62" s="11"/>
    </row>
    <row r="63" spans="1:14" ht="29.9" customHeight="1" x14ac:dyDescent="0.35">
      <c r="A63" t="s">
        <v>151</v>
      </c>
      <c r="C63" s="45" t="s">
        <v>151</v>
      </c>
      <c r="D63" s="46" t="s">
        <v>152</v>
      </c>
      <c r="E63" s="50"/>
      <c r="G63" t="str">
        <f t="shared" si="0"/>
        <v>24)If flow-based systems are allowed for pretreatment, how has their design been modified to accommodate increased storm intensity?</v>
      </c>
      <c r="H63" s="107">
        <f>IFERROR(VLOOKUP($G63,Table5[[QA]:[SCORING: SEA LEVEL RISE]], 2, FALSE),0)</f>
        <v>0</v>
      </c>
      <c r="I63" s="108">
        <f>IFERROR(VLOOKUP($G63,Table5[[QA]:[SCORING: SEA LEVEL RISE]], 3, FALSE),0)</f>
        <v>0</v>
      </c>
      <c r="J63" s="108">
        <f>IFERROR(VLOOKUP($G63,Table5[[QA]:[SCORING: SEA LEVEL RISE]], 4, FALSE),0)</f>
        <v>0</v>
      </c>
      <c r="K63" s="108">
        <f>IFERROR(VLOOKUP($G63,Table5[[QA]:[SCORING: SEA LEVEL RISE]], 5, FALSE),0)</f>
        <v>0</v>
      </c>
      <c r="L63" s="109">
        <f>IFERROR(VLOOKUP($G63,Table5[[QA]:[SCORING: SEA LEVEL RISE]], 6, FALSE),0)</f>
        <v>0</v>
      </c>
      <c r="N63" s="11"/>
    </row>
    <row r="64" spans="1:14" ht="29.9" customHeight="1" x14ac:dyDescent="0.35">
      <c r="A64" t="s">
        <v>153</v>
      </c>
      <c r="C64" s="162" t="s">
        <v>153</v>
      </c>
      <c r="D64" s="155" t="s">
        <v>154</v>
      </c>
      <c r="E64" s="155"/>
      <c r="G64" t="str">
        <f t="shared" si="0"/>
        <v>25)Do the the standards incorporate any of the following conveyance measures to accommodate rising sea levels? (select "Yes" for all that apply)</v>
      </c>
      <c r="H64" s="169"/>
      <c r="I64" s="167"/>
      <c r="J64" s="167"/>
      <c r="K64" s="167"/>
      <c r="L64" s="168"/>
      <c r="N64" s="11"/>
    </row>
    <row r="65" spans="1:14" ht="15.65" customHeight="1" x14ac:dyDescent="0.35">
      <c r="A65" t="s">
        <v>155</v>
      </c>
      <c r="C65" s="163"/>
      <c r="D65" s="57" t="s">
        <v>156</v>
      </c>
      <c r="E65" s="50"/>
      <c r="G65" t="str">
        <f t="shared" si="0"/>
        <v>25a)Elevating outfall inverts to projected high tide</v>
      </c>
      <c r="H65" s="104">
        <f>IFERROR(VLOOKUP($G65,Table5[[QA]:[SCORING: SEA LEVEL RISE]], 2, FALSE),0)</f>
        <v>0</v>
      </c>
      <c r="I65" s="105">
        <f>IFERROR(VLOOKUP($G65,Table5[[QA]:[SCORING: SEA LEVEL RISE]], 3, FALSE),0)</f>
        <v>0</v>
      </c>
      <c r="J65" s="105">
        <f>IFERROR(VLOOKUP($G65,Table5[[QA]:[SCORING: SEA LEVEL RISE]], 4, FALSE),0)</f>
        <v>0</v>
      </c>
      <c r="K65" s="105">
        <f>IFERROR(VLOOKUP($G65,Table5[[QA]:[SCORING: SEA LEVEL RISE]], 5, FALSE),0)</f>
        <v>0</v>
      </c>
      <c r="L65" s="106">
        <f>IFERROR(VLOOKUP($G65,Table5[[QA]:[SCORING: SEA LEVEL RISE]], 6, FALSE),0)</f>
        <v>0</v>
      </c>
      <c r="N65" s="11"/>
    </row>
    <row r="66" spans="1:14" ht="14.9" customHeight="1" x14ac:dyDescent="0.35">
      <c r="A66" t="s">
        <v>157</v>
      </c>
      <c r="C66" s="163"/>
      <c r="D66" s="57" t="s">
        <v>158</v>
      </c>
      <c r="E66" s="50"/>
      <c r="G66" t="str">
        <f t="shared" si="0"/>
        <v>25b)Check valves to prevent backups in outlet pipes</v>
      </c>
      <c r="H66" s="104">
        <f>IFERROR(VLOOKUP($G66,Table5[[QA]:[SCORING: SEA LEVEL RISE]], 2, FALSE),0)</f>
        <v>0</v>
      </c>
      <c r="I66" s="105">
        <f>IFERROR(VLOOKUP($G66,Table5[[QA]:[SCORING: SEA LEVEL RISE]], 3, FALSE),0)</f>
        <v>0</v>
      </c>
      <c r="J66" s="105">
        <f>IFERROR(VLOOKUP($G66,Table5[[QA]:[SCORING: SEA LEVEL RISE]], 4, FALSE),0)</f>
        <v>0</v>
      </c>
      <c r="K66" s="105">
        <f>IFERROR(VLOOKUP($G66,Table5[[QA]:[SCORING: SEA LEVEL RISE]], 5, FALSE),0)</f>
        <v>0</v>
      </c>
      <c r="L66" s="106">
        <f>IFERROR(VLOOKUP($G66,Table5[[QA]:[SCORING: SEA LEVEL RISE]], 6, FALSE),0)</f>
        <v>0</v>
      </c>
      <c r="N66" s="11"/>
    </row>
    <row r="67" spans="1:14" ht="29.9" customHeight="1" x14ac:dyDescent="0.35">
      <c r="A67" t="s">
        <v>159</v>
      </c>
      <c r="C67" s="163"/>
      <c r="D67" s="57" t="s">
        <v>160</v>
      </c>
      <c r="E67" s="50"/>
      <c r="G67" t="str">
        <f t="shared" si="0"/>
        <v>25c)Incorporation of features that allow for future practice modification (e.g., elbow joint in bioretention outlets to allow future elevation of the outlet invert)</v>
      </c>
      <c r="H67" s="104">
        <f>IFERROR(VLOOKUP($G67,Table5[[QA]:[SCORING: SEA LEVEL RISE]], 2, FALSE),0)</f>
        <v>0</v>
      </c>
      <c r="I67" s="105">
        <f>IFERROR(VLOOKUP($G67,Table5[[QA]:[SCORING: SEA LEVEL RISE]], 3, FALSE),0)</f>
        <v>0</v>
      </c>
      <c r="J67" s="105">
        <f>IFERROR(VLOOKUP($G67,Table5[[QA]:[SCORING: SEA LEVEL RISE]], 4, FALSE),0)</f>
        <v>0</v>
      </c>
      <c r="K67" s="105">
        <f>IFERROR(VLOOKUP($G67,Table5[[QA]:[SCORING: SEA LEVEL RISE]], 5, FALSE),0)</f>
        <v>0</v>
      </c>
      <c r="L67" s="106">
        <f>IFERROR(VLOOKUP($G67,Table5[[QA]:[SCORING: SEA LEVEL RISE]], 6, FALSE),0)</f>
        <v>0</v>
      </c>
      <c r="N67" s="11"/>
    </row>
    <row r="68" spans="1:14" ht="14.9" customHeight="1" x14ac:dyDescent="0.35">
      <c r="A68" t="s">
        <v>161</v>
      </c>
      <c r="C68" s="163"/>
      <c r="D68" s="57" t="s">
        <v>162</v>
      </c>
      <c r="E68" s="50"/>
      <c r="G68" t="str">
        <f t="shared" si="0"/>
        <v>25d)Oversizing pipes or open channels to account for lost storage from rising sea levels</v>
      </c>
      <c r="H68" s="104">
        <f>IFERROR(VLOOKUP($G68,Table5[[QA]:[SCORING: SEA LEVEL RISE]], 2, FALSE),0)</f>
        <v>0</v>
      </c>
      <c r="I68" s="105">
        <f>IFERROR(VLOOKUP($G68,Table5[[QA]:[SCORING: SEA LEVEL RISE]], 3, FALSE),0)</f>
        <v>0</v>
      </c>
      <c r="J68" s="105">
        <f>IFERROR(VLOOKUP($G68,Table5[[QA]:[SCORING: SEA LEVEL RISE]], 4, FALSE),0)</f>
        <v>0</v>
      </c>
      <c r="K68" s="105">
        <f>IFERROR(VLOOKUP($G68,Table5[[QA]:[SCORING: SEA LEVEL RISE]], 5, FALSE),0)</f>
        <v>0</v>
      </c>
      <c r="L68" s="106">
        <f>IFERROR(VLOOKUP($G68,Table5[[QA]:[SCORING: SEA LEVEL RISE]], 6, FALSE),0)</f>
        <v>0</v>
      </c>
      <c r="N68" s="11"/>
    </row>
    <row r="69" spans="1:14" ht="14.15" customHeight="1" x14ac:dyDescent="0.35">
      <c r="A69" t="s">
        <v>163</v>
      </c>
      <c r="C69" s="164"/>
      <c r="D69" s="57" t="s">
        <v>164</v>
      </c>
      <c r="E69" s="50"/>
      <c r="G69" t="str">
        <f t="shared" si="0"/>
        <v>25e)Incorporating pumps or other features that provide increased head during high coastal levels</v>
      </c>
      <c r="H69" s="104">
        <f>IFERROR(VLOOKUP($G69,Table5[[QA]:[SCORING: SEA LEVEL RISE]], 2, FALSE),0)</f>
        <v>0</v>
      </c>
      <c r="I69" s="105">
        <f>IFERROR(VLOOKUP($G69,Table5[[QA]:[SCORING: SEA LEVEL RISE]], 3, FALSE),0)</f>
        <v>0</v>
      </c>
      <c r="J69" s="105">
        <f>IFERROR(VLOOKUP($G69,Table5[[QA]:[SCORING: SEA LEVEL RISE]], 4, FALSE),0)</f>
        <v>0</v>
      </c>
      <c r="K69" s="105">
        <f>IFERROR(VLOOKUP($G69,Table5[[QA]:[SCORING: SEA LEVEL RISE]], 5, FALSE),0)</f>
        <v>0</v>
      </c>
      <c r="L69" s="106">
        <f>IFERROR(VLOOKUP($G69,Table5[[QA]:[SCORING: SEA LEVEL RISE]], 6, FALSE),0)</f>
        <v>0</v>
      </c>
      <c r="N69" s="11"/>
    </row>
    <row r="70" spans="1:14" ht="29.9" customHeight="1" x14ac:dyDescent="0.35">
      <c r="A70" t="s">
        <v>165</v>
      </c>
      <c r="C70" s="45" t="s">
        <v>165</v>
      </c>
      <c r="D70" s="46" t="s">
        <v>166</v>
      </c>
      <c r="E70" s="50"/>
      <c r="G70" t="str">
        <f t="shared" ref="G70:G102" si="1">A70&amp;D70&amp;E70</f>
        <v>26)Is internal water storage (e.g. the "upturned elbow") design incorporated into bioretention design standards?</v>
      </c>
      <c r="H70" s="107">
        <f>IFERROR(VLOOKUP($G70,Table5[[QA]:[SCORING: SEA LEVEL RISE]], 2, FALSE),0)</f>
        <v>0</v>
      </c>
      <c r="I70" s="108">
        <f>IFERROR(VLOOKUP($G70,Table5[[QA]:[SCORING: SEA LEVEL RISE]], 3, FALSE),0)</f>
        <v>0</v>
      </c>
      <c r="J70" s="108">
        <f>IFERROR(VLOOKUP($G70,Table5[[QA]:[SCORING: SEA LEVEL RISE]], 4, FALSE),0)</f>
        <v>0</v>
      </c>
      <c r="K70" s="108">
        <f>IFERROR(VLOOKUP($G70,Table5[[QA]:[SCORING: SEA LEVEL RISE]], 5, FALSE),0)</f>
        <v>0</v>
      </c>
      <c r="L70" s="109">
        <f>IFERROR(VLOOKUP($G70,Table5[[QA]:[SCORING: SEA LEVEL RISE]], 6, FALSE),0)</f>
        <v>0</v>
      </c>
      <c r="N70" s="11"/>
    </row>
    <row r="71" spans="1:14" ht="24.65" customHeight="1" x14ac:dyDescent="0.35">
      <c r="C71" s="159" t="s">
        <v>167</v>
      </c>
      <c r="D71" s="159"/>
      <c r="E71" s="159"/>
      <c r="G71" t="str">
        <f t="shared" si="1"/>
        <v/>
      </c>
      <c r="H71" s="173"/>
      <c r="I71" s="167"/>
      <c r="J71" s="167"/>
      <c r="K71" s="167"/>
      <c r="L71" s="168"/>
      <c r="N71" s="11"/>
    </row>
    <row r="72" spans="1:14" ht="29.9" customHeight="1" x14ac:dyDescent="0.35">
      <c r="A72" t="s">
        <v>168</v>
      </c>
      <c r="C72" s="47" t="s">
        <v>168</v>
      </c>
      <c r="D72" s="48" t="s">
        <v>169</v>
      </c>
      <c r="E72" s="50"/>
      <c r="G72" t="str">
        <f t="shared" si="1"/>
        <v>27)For bioretention pratices, what fraction of the treatment or retention volume needs to be captured in ponding above the filter bed?</v>
      </c>
      <c r="H72" s="104">
        <f>IFERROR(VLOOKUP($G72,Table5[[QA]:[SCORING: SEA LEVEL RISE]], 2, FALSE),0)</f>
        <v>0</v>
      </c>
      <c r="I72" s="105">
        <f>IFERROR(VLOOKUP($G72,Table5[[QA]:[SCORING: SEA LEVEL RISE]], 3, FALSE),0)</f>
        <v>0</v>
      </c>
      <c r="J72" s="105">
        <f>IFERROR(VLOOKUP($G72,Table5[[QA]:[SCORING: SEA LEVEL RISE]], 4, FALSE),0)</f>
        <v>0</v>
      </c>
      <c r="K72" s="105">
        <f>IFERROR(VLOOKUP($G72,Table5[[QA]:[SCORING: SEA LEVEL RISE]], 5, FALSE),0)</f>
        <v>0</v>
      </c>
      <c r="L72" s="106">
        <f>IFERROR(VLOOKUP($G72,Table5[[QA]:[SCORING: SEA LEVEL RISE]], 6, FALSE),0)</f>
        <v>0</v>
      </c>
      <c r="N72" s="11"/>
    </row>
    <row r="73" spans="1:14" ht="40.4" customHeight="1" x14ac:dyDescent="0.35">
      <c r="A73" t="s">
        <v>170</v>
      </c>
      <c r="C73" s="45" t="s">
        <v>170</v>
      </c>
      <c r="D73" s="46" t="s">
        <v>171</v>
      </c>
      <c r="E73" s="50"/>
      <c r="G73" t="str">
        <f t="shared" si="1"/>
        <v>28)How are “Smart BMP” technologies (i.e. technologies that include sensors and real-time adaptation based on observed flows and storm forecasts) incorporated or encouraged?</v>
      </c>
      <c r="H73" s="107">
        <f>IFERROR(VLOOKUP($G73,Table5[[QA]:[SCORING: SEA LEVEL RISE]], 2, FALSE),0)</f>
        <v>0</v>
      </c>
      <c r="I73" s="108">
        <f>IFERROR(VLOOKUP($G73,Table5[[QA]:[SCORING: SEA LEVEL RISE]], 3, FALSE),0)</f>
        <v>0</v>
      </c>
      <c r="J73" s="108">
        <f>IFERROR(VLOOKUP($G73,Table5[[QA]:[SCORING: SEA LEVEL RISE]], 4, FALSE),0)</f>
        <v>0</v>
      </c>
      <c r="K73" s="108">
        <f>IFERROR(VLOOKUP($G73,Table5[[QA]:[SCORING: SEA LEVEL RISE]], 5, FALSE),0)</f>
        <v>0</v>
      </c>
      <c r="L73" s="109">
        <f>IFERROR(VLOOKUP($G73,Table5[[QA]:[SCORING: SEA LEVEL RISE]], 6, FALSE),0)</f>
        <v>0</v>
      </c>
      <c r="N73" s="11"/>
    </row>
    <row r="74" spans="1:14" ht="42.65" customHeight="1" x14ac:dyDescent="0.35">
      <c r="A74" t="s">
        <v>172</v>
      </c>
      <c r="C74" s="47" t="s">
        <v>172</v>
      </c>
      <c r="D74" s="48" t="s">
        <v>173</v>
      </c>
      <c r="E74" s="50"/>
      <c r="G74" t="str">
        <f t="shared" si="1"/>
        <v>29)Do designs for any practices require or incorporate a “reserve area” to accommodate future conversion (i.e., from infiltration or bioretention practice basin to a wet pond) due to sea level rise?</v>
      </c>
      <c r="H74" s="104">
        <f>IFERROR(VLOOKUP($G74,Table5[[QA]:[SCORING: SEA LEVEL RISE]], 2, FALSE),0)</f>
        <v>0</v>
      </c>
      <c r="I74" s="105">
        <f>IFERROR(VLOOKUP($G74,Table5[[QA]:[SCORING: SEA LEVEL RISE]], 3, FALSE),0)</f>
        <v>0</v>
      </c>
      <c r="J74" s="105">
        <f>IFERROR(VLOOKUP($G74,Table5[[QA]:[SCORING: SEA LEVEL RISE]], 4, FALSE),0)</f>
        <v>0</v>
      </c>
      <c r="K74" s="105">
        <f>IFERROR(VLOOKUP($G74,Table5[[QA]:[SCORING: SEA LEVEL RISE]], 5, FALSE),0)</f>
        <v>0</v>
      </c>
      <c r="L74" s="106">
        <f>IFERROR(VLOOKUP($G74,Table5[[QA]:[SCORING: SEA LEVEL RISE]], 6, FALSE),0)</f>
        <v>0</v>
      </c>
      <c r="N74" s="11"/>
    </row>
    <row r="75" spans="1:14" ht="29.9" customHeight="1" x14ac:dyDescent="0.35">
      <c r="A75" t="s">
        <v>174</v>
      </c>
      <c r="C75" s="45" t="s">
        <v>174</v>
      </c>
      <c r="D75" s="46" t="s">
        <v>175</v>
      </c>
      <c r="E75" s="50"/>
      <c r="G75" t="str">
        <f t="shared" si="1"/>
        <v>30)Do any ultra-urban practices incorporate sub-surface flood storage?</v>
      </c>
      <c r="H75" s="107">
        <f>IFERROR(VLOOKUP($G75,Table5[[QA]:[SCORING: SEA LEVEL RISE]], 2, FALSE),0)</f>
        <v>0</v>
      </c>
      <c r="I75" s="108">
        <f>IFERROR(VLOOKUP($G75,Table5[[QA]:[SCORING: SEA LEVEL RISE]], 3, FALSE),0)</f>
        <v>0</v>
      </c>
      <c r="J75" s="108">
        <f>IFERROR(VLOOKUP($G75,Table5[[QA]:[SCORING: SEA LEVEL RISE]], 4, FALSE),0)</f>
        <v>0</v>
      </c>
      <c r="K75" s="108">
        <f>IFERROR(VLOOKUP($G75,Table5[[QA]:[SCORING: SEA LEVEL RISE]], 5, FALSE),0)</f>
        <v>0</v>
      </c>
      <c r="L75" s="109">
        <f>IFERROR(VLOOKUP($G75,Table5[[QA]:[SCORING: SEA LEVEL RISE]], 6, FALSE),0)</f>
        <v>0</v>
      </c>
      <c r="N75" s="11"/>
    </row>
    <row r="76" spans="1:14" ht="18" customHeight="1" x14ac:dyDescent="0.35">
      <c r="A76" t="s">
        <v>176</v>
      </c>
      <c r="C76" s="162" t="s">
        <v>176</v>
      </c>
      <c r="D76" s="155" t="s">
        <v>177</v>
      </c>
      <c r="E76" s="155"/>
      <c r="G76" t="str">
        <f t="shared" si="1"/>
        <v>31)Do filter media specifications include any of the following specifications or additives include options for the following additives? (select "Yes" for all that apply)</v>
      </c>
      <c r="H76" s="169"/>
      <c r="I76" s="167"/>
      <c r="J76" s="167"/>
      <c r="K76" s="167"/>
      <c r="L76" s="168"/>
      <c r="N76" s="11"/>
    </row>
    <row r="77" spans="1:14" x14ac:dyDescent="0.35">
      <c r="A77" t="s">
        <v>178</v>
      </c>
      <c r="C77" s="163"/>
      <c r="D77" s="55" t="s">
        <v>179</v>
      </c>
      <c r="E77" s="50"/>
      <c r="G77" t="str">
        <f t="shared" si="1"/>
        <v>31a)Minimum % sand (at least 50%) and maximum clay content</v>
      </c>
      <c r="H77" s="104">
        <f>IFERROR(VLOOKUP($G77,Table5[[QA]:[SCORING: SEA LEVEL RISE]], 2, FALSE),0)</f>
        <v>0</v>
      </c>
      <c r="I77" s="105">
        <f>IFERROR(VLOOKUP($G77,Table5[[QA]:[SCORING: SEA LEVEL RISE]], 3, FALSE),0)</f>
        <v>0</v>
      </c>
      <c r="J77" s="105">
        <f>IFERROR(VLOOKUP($G77,Table5[[QA]:[SCORING: SEA LEVEL RISE]], 4, FALSE),0)</f>
        <v>0</v>
      </c>
      <c r="K77" s="105">
        <f>IFERROR(VLOOKUP($G77,Table5[[QA]:[SCORING: SEA LEVEL RISE]], 5, FALSE),0)</f>
        <v>0</v>
      </c>
      <c r="L77" s="106">
        <f>IFERROR(VLOOKUP($G77,Table5[[QA]:[SCORING: SEA LEVEL RISE]], 6, FALSE),0)</f>
        <v>0</v>
      </c>
      <c r="N77" s="11"/>
    </row>
    <row r="78" spans="1:14" x14ac:dyDescent="0.35">
      <c r="A78" t="s">
        <v>180</v>
      </c>
      <c r="C78" s="163"/>
      <c r="D78" s="55" t="s">
        <v>181</v>
      </c>
      <c r="E78" s="50"/>
      <c r="G78" t="str">
        <f t="shared" si="1"/>
        <v>31b)Biochar</v>
      </c>
      <c r="H78" s="104">
        <f>IFERROR(VLOOKUP($G78,Table5[[QA]:[SCORING: SEA LEVEL RISE]], 2, FALSE),0)</f>
        <v>0</v>
      </c>
      <c r="I78" s="105">
        <f>IFERROR(VLOOKUP($G78,Table5[[QA]:[SCORING: SEA LEVEL RISE]], 3, FALSE),0)</f>
        <v>0</v>
      </c>
      <c r="J78" s="105">
        <f>IFERROR(VLOOKUP($G78,Table5[[QA]:[SCORING: SEA LEVEL RISE]], 4, FALSE),0)</f>
        <v>0</v>
      </c>
      <c r="K78" s="105">
        <f>IFERROR(VLOOKUP($G78,Table5[[QA]:[SCORING: SEA LEVEL RISE]], 5, FALSE),0)</f>
        <v>0</v>
      </c>
      <c r="L78" s="106">
        <f>IFERROR(VLOOKUP($G78,Table5[[QA]:[SCORING: SEA LEVEL RISE]], 6, FALSE),0)</f>
        <v>0</v>
      </c>
      <c r="N78" s="11"/>
    </row>
    <row r="79" spans="1:14" x14ac:dyDescent="0.35">
      <c r="A79" t="s">
        <v>182</v>
      </c>
      <c r="C79" s="164"/>
      <c r="D79" s="55" t="s">
        <v>183</v>
      </c>
      <c r="E79" s="50"/>
      <c r="G79" t="str">
        <f t="shared" si="1"/>
        <v>31c)Polymers designed to retain soil moisture</v>
      </c>
      <c r="H79" s="104">
        <f>IFERROR(VLOOKUP($G79,Table5[[QA]:[SCORING: SEA LEVEL RISE]], 2, FALSE),0)</f>
        <v>0</v>
      </c>
      <c r="I79" s="105">
        <f>IFERROR(VLOOKUP($G79,Table5[[QA]:[SCORING: SEA LEVEL RISE]], 3, FALSE),0)</f>
        <v>0</v>
      </c>
      <c r="J79" s="105">
        <f>IFERROR(VLOOKUP($G79,Table5[[QA]:[SCORING: SEA LEVEL RISE]], 4, FALSE),0)</f>
        <v>0</v>
      </c>
      <c r="K79" s="105">
        <f>IFERROR(VLOOKUP($G79,Table5[[QA]:[SCORING: SEA LEVEL RISE]], 5, FALSE),0)</f>
        <v>0</v>
      </c>
      <c r="L79" s="106">
        <f>IFERROR(VLOOKUP($G79,Table5[[QA]:[SCORING: SEA LEVEL RISE]], 6, FALSE),0)</f>
        <v>0</v>
      </c>
      <c r="N79" s="11"/>
    </row>
    <row r="80" spans="1:14" ht="21.65" customHeight="1" x14ac:dyDescent="0.35">
      <c r="A80" t="s">
        <v>184</v>
      </c>
      <c r="C80" s="165" t="s">
        <v>184</v>
      </c>
      <c r="D80" s="154" t="s">
        <v>185</v>
      </c>
      <c r="E80" s="154"/>
      <c r="G80" t="str">
        <f t="shared" si="1"/>
        <v>32)Are any of the following considered when selecting BMP materials? (select "Yes" for all that apply)</v>
      </c>
      <c r="H80" s="166"/>
      <c r="I80" s="167"/>
      <c r="J80" s="167"/>
      <c r="K80" s="167"/>
      <c r="L80" s="168"/>
      <c r="N80" s="11"/>
    </row>
    <row r="81" spans="1:14" ht="26.5" x14ac:dyDescent="0.35">
      <c r="A81" t="s">
        <v>186</v>
      </c>
      <c r="C81" s="163"/>
      <c r="D81" s="54" t="s">
        <v>187</v>
      </c>
      <c r="E81" s="50"/>
      <c r="G81" t="str">
        <f t="shared" si="1"/>
        <v>32a)Temperature-resistance (e.g., incorporating stone matrix asphalt or polymer-modified binders into permeable pavement specifications)</v>
      </c>
      <c r="H81" s="107">
        <f>IFERROR(VLOOKUP($G81,Table5[[QA]:[SCORING: SEA LEVEL RISE]], 2, FALSE),0)</f>
        <v>0</v>
      </c>
      <c r="I81" s="108">
        <f>IFERROR(VLOOKUP($G81,Table5[[QA]:[SCORING: SEA LEVEL RISE]], 3, FALSE),0)</f>
        <v>0</v>
      </c>
      <c r="J81" s="108">
        <f>IFERROR(VLOOKUP($G81,Table5[[QA]:[SCORING: SEA LEVEL RISE]], 4, FALSE),0)</f>
        <v>0</v>
      </c>
      <c r="K81" s="108">
        <f>IFERROR(VLOOKUP($G81,Table5[[QA]:[SCORING: SEA LEVEL RISE]], 5, FALSE),0)</f>
        <v>0</v>
      </c>
      <c r="L81" s="109">
        <f>IFERROR(VLOOKUP($G81,Table5[[QA]:[SCORING: SEA LEVEL RISE]], 6, FALSE),0)</f>
        <v>0</v>
      </c>
      <c r="N81" s="11"/>
    </row>
    <row r="82" spans="1:14" x14ac:dyDescent="0.35">
      <c r="A82" t="s">
        <v>188</v>
      </c>
      <c r="C82" s="163"/>
      <c r="D82" s="54" t="s">
        <v>189</v>
      </c>
      <c r="E82" s="50"/>
      <c r="G82" t="str">
        <f t="shared" si="1"/>
        <v>32b)Corrosion-resistance, such as use of corrosion-resistant concrete in areas of sea level rise</v>
      </c>
      <c r="H82" s="107">
        <f>IFERROR(VLOOKUP($G82,Table5[[QA]:[SCORING: SEA LEVEL RISE]], 2, FALSE),0)</f>
        <v>0</v>
      </c>
      <c r="I82" s="108">
        <f>IFERROR(VLOOKUP($G82,Table5[[QA]:[SCORING: SEA LEVEL RISE]], 3, FALSE),0)</f>
        <v>0</v>
      </c>
      <c r="J82" s="108">
        <f>IFERROR(VLOOKUP($G82,Table5[[QA]:[SCORING: SEA LEVEL RISE]], 4, FALSE),0)</f>
        <v>0</v>
      </c>
      <c r="K82" s="108">
        <f>IFERROR(VLOOKUP($G82,Table5[[QA]:[SCORING: SEA LEVEL RISE]], 5, FALSE),0)</f>
        <v>0</v>
      </c>
      <c r="L82" s="109">
        <f>IFERROR(VLOOKUP($G82,Table5[[QA]:[SCORING: SEA LEVEL RISE]], 6, FALSE),0)</f>
        <v>0</v>
      </c>
      <c r="N82" s="11"/>
    </row>
    <row r="83" spans="1:14" x14ac:dyDescent="0.35">
      <c r="A83" t="s">
        <v>190</v>
      </c>
      <c r="C83" s="163"/>
      <c r="D83" s="54" t="s">
        <v>191</v>
      </c>
      <c r="E83" s="50"/>
      <c r="G83" t="str">
        <f t="shared" si="1"/>
        <v>32c)Carbon footprint of materials</v>
      </c>
      <c r="H83" s="107">
        <f>IFERROR(VLOOKUP($G83,Table5[[QA]:[SCORING: SEA LEVEL RISE]], 2, FALSE),0)</f>
        <v>0</v>
      </c>
      <c r="I83" s="108">
        <f>IFERROR(VLOOKUP($G83,Table5[[QA]:[SCORING: SEA LEVEL RISE]], 3, FALSE),0)</f>
        <v>0</v>
      </c>
      <c r="J83" s="108">
        <f>IFERROR(VLOOKUP($G83,Table5[[QA]:[SCORING: SEA LEVEL RISE]], 4, FALSE),0)</f>
        <v>0</v>
      </c>
      <c r="K83" s="108">
        <f>IFERROR(VLOOKUP($G83,Table5[[QA]:[SCORING: SEA LEVEL RISE]], 5, FALSE),0)</f>
        <v>0</v>
      </c>
      <c r="L83" s="109">
        <f>IFERROR(VLOOKUP($G83,Table5[[QA]:[SCORING: SEA LEVEL RISE]], 6, FALSE),0)</f>
        <v>0</v>
      </c>
      <c r="N83" s="11"/>
    </row>
    <row r="84" spans="1:14" x14ac:dyDescent="0.35">
      <c r="A84" t="s">
        <v>192</v>
      </c>
      <c r="C84" s="164"/>
      <c r="D84" s="54" t="s">
        <v>193</v>
      </c>
      <c r="E84" s="50"/>
      <c r="G84" t="str">
        <f t="shared" si="1"/>
        <v>32d)Solar reflection (e.g., incorporating lighter color materials)</v>
      </c>
      <c r="H84" s="107">
        <f>IFERROR(VLOOKUP($G84,Table5[[QA]:[SCORING: SEA LEVEL RISE]], 2, FALSE),0)</f>
        <v>0</v>
      </c>
      <c r="I84" s="108">
        <f>IFERROR(VLOOKUP($G84,Table5[[QA]:[SCORING: SEA LEVEL RISE]], 3, FALSE),0)</f>
        <v>0</v>
      </c>
      <c r="J84" s="108">
        <f>IFERROR(VLOOKUP($G84,Table5[[QA]:[SCORING: SEA LEVEL RISE]], 4, FALSE),0)</f>
        <v>0</v>
      </c>
      <c r="K84" s="108">
        <f>IFERROR(VLOOKUP($G84,Table5[[QA]:[SCORING: SEA LEVEL RISE]], 5, FALSE),0)</f>
        <v>0</v>
      </c>
      <c r="L84" s="109">
        <f>IFERROR(VLOOKUP($G84,Table5[[QA]:[SCORING: SEA LEVEL RISE]], 6, FALSE),0)</f>
        <v>0</v>
      </c>
      <c r="N84" s="11"/>
    </row>
    <row r="85" spans="1:14" ht="24.65" customHeight="1" x14ac:dyDescent="0.35">
      <c r="C85" s="159" t="s">
        <v>194</v>
      </c>
      <c r="D85" s="159"/>
      <c r="E85" s="159"/>
      <c r="G85" t="str">
        <f t="shared" si="1"/>
        <v/>
      </c>
      <c r="H85" s="173"/>
      <c r="I85" s="167"/>
      <c r="J85" s="167"/>
      <c r="K85" s="167"/>
      <c r="L85" s="168"/>
      <c r="N85" s="11"/>
    </row>
    <row r="86" spans="1:14" ht="29.9" customHeight="1" x14ac:dyDescent="0.35">
      <c r="A86" t="s">
        <v>195</v>
      </c>
      <c r="C86" s="47" t="s">
        <v>195</v>
      </c>
      <c r="D86" s="48" t="s">
        <v>196</v>
      </c>
      <c r="E86" s="50"/>
      <c r="G86" t="str">
        <f t="shared" si="1"/>
        <v>33)Do standards require ongoing maintenance?</v>
      </c>
      <c r="H86" s="104">
        <f>IFERROR(VLOOKUP($G86,Table5[[QA]:[SCORING: SEA LEVEL RISE]], 2, FALSE),0)</f>
        <v>0</v>
      </c>
      <c r="I86" s="105">
        <f>IFERROR(VLOOKUP($G86,Table5[[QA]:[SCORING: SEA LEVEL RISE]], 3, FALSE),0)</f>
        <v>0</v>
      </c>
      <c r="J86" s="105">
        <f>IFERROR(VLOOKUP($G86,Table5[[QA]:[SCORING: SEA LEVEL RISE]], 4, FALSE),0)</f>
        <v>0</v>
      </c>
      <c r="K86" s="105">
        <f>IFERROR(VLOOKUP($G86,Table5[[QA]:[SCORING: SEA LEVEL RISE]], 5, FALSE),0)</f>
        <v>0</v>
      </c>
      <c r="L86" s="106">
        <f>IFERROR(VLOOKUP($G86,Table5[[QA]:[SCORING: SEA LEVEL RISE]], 6, FALSE),0)</f>
        <v>0</v>
      </c>
      <c r="N86" s="11"/>
    </row>
    <row r="87" spans="1:14" ht="29.9" customHeight="1" x14ac:dyDescent="0.35">
      <c r="A87" t="s">
        <v>197</v>
      </c>
      <c r="C87" s="45" t="s">
        <v>197</v>
      </c>
      <c r="D87" s="46" t="s">
        <v>198</v>
      </c>
      <c r="E87" s="50"/>
      <c r="G87" t="str">
        <f t="shared" si="1"/>
        <v>34)Are inspection checklists provided in the standards?</v>
      </c>
      <c r="H87" s="107">
        <f>IFERROR(VLOOKUP($G87,Table5[[QA]:[SCORING: SEA LEVEL RISE]], 2, FALSE),0)</f>
        <v>0</v>
      </c>
      <c r="I87" s="108">
        <f>IFERROR(VLOOKUP($G87,Table5[[QA]:[SCORING: SEA LEVEL RISE]], 3, FALSE),0)</f>
        <v>0</v>
      </c>
      <c r="J87" s="108">
        <f>IFERROR(VLOOKUP($G87,Table5[[QA]:[SCORING: SEA LEVEL RISE]], 4, FALSE),0)</f>
        <v>0</v>
      </c>
      <c r="K87" s="108">
        <f>IFERROR(VLOOKUP($G87,Table5[[QA]:[SCORING: SEA LEVEL RISE]], 5, FALSE),0)</f>
        <v>0</v>
      </c>
      <c r="L87" s="109">
        <f>IFERROR(VLOOKUP($G87,Table5[[QA]:[SCORING: SEA LEVEL RISE]], 6, FALSE),0)</f>
        <v>0</v>
      </c>
      <c r="N87" s="11"/>
    </row>
    <row r="88" spans="1:14" ht="29.9" customHeight="1" x14ac:dyDescent="0.35">
      <c r="A88" t="s">
        <v>199</v>
      </c>
      <c r="C88" s="47" t="s">
        <v>199</v>
      </c>
      <c r="D88" s="48" t="s">
        <v>200</v>
      </c>
      <c r="E88" s="50"/>
      <c r="G88" t="str">
        <f t="shared" si="1"/>
        <v>35) Is an irrigation source required to establish vegetation or is an analysis required to determine if irrigation is needed?</v>
      </c>
      <c r="H88" s="104">
        <f>IFERROR(VLOOKUP($G88,Table5[[QA]:[SCORING: SEA LEVEL RISE]], 2, FALSE),0)</f>
        <v>0</v>
      </c>
      <c r="I88" s="105">
        <f>IFERROR(VLOOKUP($G88,Table5[[QA]:[SCORING: SEA LEVEL RISE]], 3, FALSE),0)</f>
        <v>0</v>
      </c>
      <c r="J88" s="105">
        <f>IFERROR(VLOOKUP($G88,Table5[[QA]:[SCORING: SEA LEVEL RISE]], 4, FALSE),0)</f>
        <v>0</v>
      </c>
      <c r="K88" s="105">
        <f>IFERROR(VLOOKUP($G88,Table5[[QA]:[SCORING: SEA LEVEL RISE]], 5, FALSE),0)</f>
        <v>0</v>
      </c>
      <c r="L88" s="106">
        <f>IFERROR(VLOOKUP($G88,Table5[[QA]:[SCORING: SEA LEVEL RISE]], 6, FALSE),0)</f>
        <v>0</v>
      </c>
      <c r="N88" s="11"/>
    </row>
    <row r="89" spans="1:14" ht="29.9" customHeight="1" x14ac:dyDescent="0.35">
      <c r="A89" t="s">
        <v>201</v>
      </c>
      <c r="C89" s="165" t="s">
        <v>201</v>
      </c>
      <c r="D89" s="160" t="s">
        <v>202</v>
      </c>
      <c r="E89" s="161"/>
      <c r="G89" t="str">
        <f t="shared" si="1"/>
        <v>36)Does maintenance guidance mention adapting to the following? (select "Yes" for all that apply)</v>
      </c>
      <c r="H89" s="166"/>
      <c r="I89" s="167"/>
      <c r="J89" s="167"/>
      <c r="K89" s="167"/>
      <c r="L89" s="168"/>
      <c r="N89" s="11"/>
    </row>
    <row r="90" spans="1:14" x14ac:dyDescent="0.35">
      <c r="A90" t="s">
        <v>203</v>
      </c>
      <c r="C90" s="163"/>
      <c r="D90" s="54" t="s">
        <v>204</v>
      </c>
      <c r="E90" s="50"/>
      <c r="G90" t="str">
        <f t="shared" si="1"/>
        <v>36a)Drought</v>
      </c>
      <c r="H90" s="107">
        <f>IFERROR(VLOOKUP($G90,Table5[[QA]:[SCORING: SEA LEVEL RISE]], 2, FALSE),0)</f>
        <v>0</v>
      </c>
      <c r="I90" s="108">
        <f>IFERROR(VLOOKUP($G90,Table5[[QA]:[SCORING: SEA LEVEL RISE]], 3, FALSE),0)</f>
        <v>0</v>
      </c>
      <c r="J90" s="108">
        <f>IFERROR(VLOOKUP($G90,Table5[[QA]:[SCORING: SEA LEVEL RISE]], 4, FALSE),0)</f>
        <v>0</v>
      </c>
      <c r="K90" s="108">
        <f>IFERROR(VLOOKUP($G90,Table5[[QA]:[SCORING: SEA LEVEL RISE]], 5, FALSE),0)</f>
        <v>0</v>
      </c>
      <c r="L90" s="109">
        <f>IFERROR(VLOOKUP($G90,Table5[[QA]:[SCORING: SEA LEVEL RISE]], 6, FALSE),0)</f>
        <v>0</v>
      </c>
      <c r="N90" s="11"/>
    </row>
    <row r="91" spans="1:14" x14ac:dyDescent="0.35">
      <c r="A91" t="s">
        <v>205</v>
      </c>
      <c r="C91" s="163"/>
      <c r="D91" s="54" t="s">
        <v>206</v>
      </c>
      <c r="E91" s="50"/>
      <c r="G91" t="str">
        <f>A91&amp;D91&amp;E91</f>
        <v>36b)Frequent rainfall/erosive events</v>
      </c>
      <c r="H91" s="107">
        <f>IFERROR(VLOOKUP($G91,Table5[[QA]:[SCORING: SEA LEVEL RISE]], 2, FALSE),0)</f>
        <v>0</v>
      </c>
      <c r="I91" s="108">
        <f>IFERROR(VLOOKUP($G91,Table5[[QA]:[SCORING: SEA LEVEL RISE]], 3, FALSE),0)</f>
        <v>0</v>
      </c>
      <c r="J91" s="108">
        <f>IFERROR(VLOOKUP($G91,Table5[[QA]:[SCORING: SEA LEVEL RISE]], 4, FALSE),0)</f>
        <v>0</v>
      </c>
      <c r="K91" s="108">
        <f>IFERROR(VLOOKUP($G91,Table5[[QA]:[SCORING: SEA LEVEL RISE]], 5, FALSE),0)</f>
        <v>0</v>
      </c>
      <c r="L91" s="109">
        <f>IFERROR(VLOOKUP($G91,Table5[[QA]:[SCORING: SEA LEVEL RISE]], 6, FALSE),0)</f>
        <v>0</v>
      </c>
      <c r="N91" s="11"/>
    </row>
    <row r="92" spans="1:14" x14ac:dyDescent="0.35">
      <c r="A92" t="s">
        <v>207</v>
      </c>
      <c r="C92" s="164"/>
      <c r="D92" s="54" t="s">
        <v>208</v>
      </c>
      <c r="E92" s="50"/>
      <c r="G92" t="str">
        <f>A92&amp;D92&amp;E92</f>
        <v>36c)Sea level rise and inundation</v>
      </c>
      <c r="H92" s="107">
        <f>IFERROR(VLOOKUP($G92,Table5[[QA]:[SCORING: SEA LEVEL RISE]], 2, FALSE),0)</f>
        <v>0</v>
      </c>
      <c r="I92" s="108">
        <f>IFERROR(VLOOKUP($G92,Table5[[QA]:[SCORING: SEA LEVEL RISE]], 3, FALSE),0)</f>
        <v>0</v>
      </c>
      <c r="J92" s="108">
        <f>IFERROR(VLOOKUP($G92,Table5[[QA]:[SCORING: SEA LEVEL RISE]], 4, FALSE),0)</f>
        <v>0</v>
      </c>
      <c r="K92" s="108">
        <f>IFERROR(VLOOKUP($G92,Table5[[QA]:[SCORING: SEA LEVEL RISE]], 5, FALSE),0)</f>
        <v>0</v>
      </c>
      <c r="L92" s="109">
        <f>IFERROR(VLOOKUP($G92,Table5[[QA]:[SCORING: SEA LEVEL RISE]], 6, FALSE),0)</f>
        <v>0</v>
      </c>
      <c r="N92" s="11"/>
    </row>
    <row r="93" spans="1:14" ht="28.4" customHeight="1" x14ac:dyDescent="0.35">
      <c r="A93" t="s">
        <v>209</v>
      </c>
      <c r="C93" s="47" t="s">
        <v>209</v>
      </c>
      <c r="D93" s="48" t="s">
        <v>210</v>
      </c>
      <c r="E93" s="50"/>
      <c r="G93" t="str">
        <f t="shared" si="1"/>
        <v>37)Do maintenance standards include a “practice conversion” option for changing climate conditions?</v>
      </c>
      <c r="H93" s="104">
        <f>IFERROR(VLOOKUP($G93,Table5[[QA]:[SCORING: SEA LEVEL RISE]], 2, FALSE),0)</f>
        <v>0</v>
      </c>
      <c r="I93" s="105">
        <f>IFERROR(VLOOKUP($G93,Table5[[QA]:[SCORING: SEA LEVEL RISE]], 3, FALSE),0)</f>
        <v>0</v>
      </c>
      <c r="J93" s="105">
        <f>IFERROR(VLOOKUP($G93,Table5[[QA]:[SCORING: SEA LEVEL RISE]], 4, FALSE),0)</f>
        <v>0</v>
      </c>
      <c r="K93" s="105">
        <f>IFERROR(VLOOKUP($G93,Table5[[QA]:[SCORING: SEA LEVEL RISE]], 5, FALSE),0)</f>
        <v>0</v>
      </c>
      <c r="L93" s="106">
        <f>IFERROR(VLOOKUP($G93,Table5[[QA]:[SCORING: SEA LEVEL RISE]], 6, FALSE),0)</f>
        <v>0</v>
      </c>
      <c r="N93" s="11"/>
    </row>
    <row r="94" spans="1:14" ht="29.9" customHeight="1" x14ac:dyDescent="0.35">
      <c r="A94" t="s">
        <v>211</v>
      </c>
      <c r="C94" s="45" t="s">
        <v>211</v>
      </c>
      <c r="D94" s="46" t="s">
        <v>212</v>
      </c>
      <c r="E94" s="50"/>
      <c r="G94" t="str">
        <f t="shared" si="1"/>
        <v>38)Do standards include a landscaping plant list?</v>
      </c>
      <c r="H94" s="107">
        <f>IFERROR(VLOOKUP($G94,Table5[[QA]:[SCORING: SEA LEVEL RISE]], 2, FALSE),0)</f>
        <v>0</v>
      </c>
      <c r="I94" s="108">
        <f>IFERROR(VLOOKUP($G94,Table5[[QA]:[SCORING: SEA LEVEL RISE]], 3, FALSE),0)</f>
        <v>0</v>
      </c>
      <c r="J94" s="108">
        <f>IFERROR(VLOOKUP($G94,Table5[[QA]:[SCORING: SEA LEVEL RISE]], 4, FALSE),0)</f>
        <v>0</v>
      </c>
      <c r="K94" s="108">
        <f>IFERROR(VLOOKUP($G94,Table5[[QA]:[SCORING: SEA LEVEL RISE]], 5, FALSE),0)</f>
        <v>0</v>
      </c>
      <c r="L94" s="109">
        <f>IFERROR(VLOOKUP($G94,Table5[[QA]:[SCORING: SEA LEVEL RISE]], 6, FALSE),0)</f>
        <v>0</v>
      </c>
      <c r="N94" s="11"/>
    </row>
    <row r="95" spans="1:14" ht="29.9" customHeight="1" x14ac:dyDescent="0.35">
      <c r="A95" t="s">
        <v>213</v>
      </c>
      <c r="C95" s="162" t="s">
        <v>213</v>
      </c>
      <c r="D95" s="155" t="s">
        <v>214</v>
      </c>
      <c r="E95" s="155"/>
      <c r="G95" t="str">
        <f t="shared" si="1"/>
        <v>39)Does the plant list identify plants with the following benefits or tolerances? (select "Yes" for all that apply)</v>
      </c>
      <c r="H95" s="169"/>
      <c r="I95" s="167"/>
      <c r="J95" s="167"/>
      <c r="K95" s="167"/>
      <c r="L95" s="168"/>
      <c r="N95" s="11"/>
    </row>
    <row r="96" spans="1:14" x14ac:dyDescent="0.35">
      <c r="A96" t="s">
        <v>215</v>
      </c>
      <c r="C96" s="163"/>
      <c r="D96" s="57" t="s">
        <v>216</v>
      </c>
      <c r="E96" s="50"/>
      <c r="G96" t="str">
        <f t="shared" si="1"/>
        <v>39a)Tolerance for "wet feet" (e.g., frequently inundated soils)</v>
      </c>
      <c r="H96" s="104">
        <f>IFERROR(VLOOKUP($G96,Table5[[QA]:[SCORING: SEA LEVEL RISE]], 2, FALSE),0)</f>
        <v>0</v>
      </c>
      <c r="I96" s="105">
        <f>IFERROR(VLOOKUP($G96,Table5[[QA]:[SCORING: SEA LEVEL RISE]], 3, FALSE),0)</f>
        <v>0</v>
      </c>
      <c r="J96" s="105">
        <f>IFERROR(VLOOKUP($G96,Table5[[QA]:[SCORING: SEA LEVEL RISE]], 4, FALSE),0)</f>
        <v>0</v>
      </c>
      <c r="K96" s="105">
        <f>IFERROR(VLOOKUP($G96,Table5[[QA]:[SCORING: SEA LEVEL RISE]], 5, FALSE),0)</f>
        <v>0</v>
      </c>
      <c r="L96" s="106">
        <f>IFERROR(VLOOKUP($G96,Table5[[QA]:[SCORING: SEA LEVEL RISE]], 6, FALSE),0)</f>
        <v>0</v>
      </c>
      <c r="N96" s="11"/>
    </row>
    <row r="97" spans="1:14" x14ac:dyDescent="0.35">
      <c r="A97" t="s">
        <v>217</v>
      </c>
      <c r="C97" s="163"/>
      <c r="D97" s="57" t="s">
        <v>218</v>
      </c>
      <c r="E97" s="50"/>
      <c r="G97" t="str">
        <f t="shared" si="1"/>
        <v>39b)Frequent inundation tolerance</v>
      </c>
      <c r="H97" s="104">
        <f>IFERROR(VLOOKUP($G97,Table5[[QA]:[SCORING: SEA LEVEL RISE]], 2, FALSE),0)</f>
        <v>0</v>
      </c>
      <c r="I97" s="105">
        <f>IFERROR(VLOOKUP($G97,Table5[[QA]:[SCORING: SEA LEVEL RISE]], 3, FALSE),0)</f>
        <v>0</v>
      </c>
      <c r="J97" s="105">
        <f>IFERROR(VLOOKUP($G97,Table5[[QA]:[SCORING: SEA LEVEL RISE]], 4, FALSE),0)</f>
        <v>0</v>
      </c>
      <c r="K97" s="105">
        <f>IFERROR(VLOOKUP($G97,Table5[[QA]:[SCORING: SEA LEVEL RISE]], 5, FALSE),0)</f>
        <v>0</v>
      </c>
      <c r="L97" s="106">
        <f>IFERROR(VLOOKUP($G97,Table5[[QA]:[SCORING: SEA LEVEL RISE]], 6, FALSE),0)</f>
        <v>0</v>
      </c>
      <c r="N97" s="11"/>
    </row>
    <row r="98" spans="1:14" x14ac:dyDescent="0.35">
      <c r="A98" t="s">
        <v>219</v>
      </c>
      <c r="C98" s="163"/>
      <c r="D98" s="57" t="s">
        <v>220</v>
      </c>
      <c r="E98" s="50"/>
      <c r="G98" t="str">
        <f t="shared" si="1"/>
        <v>39c)Prolonged drought resistance</v>
      </c>
      <c r="H98" s="104">
        <f>IFERROR(VLOOKUP($G98,Table5[[QA]:[SCORING: SEA LEVEL RISE]], 2, FALSE),0)</f>
        <v>0</v>
      </c>
      <c r="I98" s="105">
        <f>IFERROR(VLOOKUP($G98,Table5[[QA]:[SCORING: SEA LEVEL RISE]], 3, FALSE),0)</f>
        <v>0</v>
      </c>
      <c r="J98" s="105">
        <f>IFERROR(VLOOKUP($G98,Table5[[QA]:[SCORING: SEA LEVEL RISE]], 4, FALSE),0)</f>
        <v>0</v>
      </c>
      <c r="K98" s="105">
        <f>IFERROR(VLOOKUP($G98,Table5[[QA]:[SCORING: SEA LEVEL RISE]], 5, FALSE),0)</f>
        <v>0</v>
      </c>
      <c r="L98" s="106">
        <f>IFERROR(VLOOKUP($G98,Table5[[QA]:[SCORING: SEA LEVEL RISE]], 6, FALSE),0)</f>
        <v>0</v>
      </c>
      <c r="N98" s="11"/>
    </row>
    <row r="99" spans="1:14" x14ac:dyDescent="0.35">
      <c r="A99" t="s">
        <v>221</v>
      </c>
      <c r="C99" s="163"/>
      <c r="D99" s="57" t="s">
        <v>222</v>
      </c>
      <c r="E99" s="50"/>
      <c r="G99" t="str">
        <f t="shared" si="1"/>
        <v>39d)Salt tolerance</v>
      </c>
      <c r="H99" s="104">
        <f>IFERROR(VLOOKUP($G99,Table5[[QA]:[SCORING: SEA LEVEL RISE]], 2, FALSE),0)</f>
        <v>0</v>
      </c>
      <c r="I99" s="105">
        <f>IFERROR(VLOOKUP($G99,Table5[[QA]:[SCORING: SEA LEVEL RISE]], 3, FALSE),0)</f>
        <v>0</v>
      </c>
      <c r="J99" s="105">
        <f>IFERROR(VLOOKUP($G99,Table5[[QA]:[SCORING: SEA LEVEL RISE]], 4, FALSE),0)</f>
        <v>0</v>
      </c>
      <c r="K99" s="105">
        <f>IFERROR(VLOOKUP($G99,Table5[[QA]:[SCORING: SEA LEVEL RISE]], 5, FALSE),0)</f>
        <v>0</v>
      </c>
      <c r="L99" s="106">
        <f>IFERROR(VLOOKUP($G99,Table5[[QA]:[SCORING: SEA LEVEL RISE]], 6, FALSE),0)</f>
        <v>0</v>
      </c>
      <c r="N99" s="11"/>
    </row>
    <row r="100" spans="1:14" x14ac:dyDescent="0.35">
      <c r="A100" t="s">
        <v>223</v>
      </c>
      <c r="C100" s="163"/>
      <c r="D100" s="57" t="s">
        <v>224</v>
      </c>
      <c r="E100" s="50"/>
      <c r="G100" t="str">
        <f t="shared" si="1"/>
        <v>39e)Fire resistance</v>
      </c>
      <c r="H100" s="104">
        <f>IFERROR(VLOOKUP($G100,Table5[[QA]:[SCORING: SEA LEVEL RISE]], 2, FALSE),0)</f>
        <v>0</v>
      </c>
      <c r="I100" s="105">
        <f>IFERROR(VLOOKUP($G100,Table5[[QA]:[SCORING: SEA LEVEL RISE]], 3, FALSE),0)</f>
        <v>0</v>
      </c>
      <c r="J100" s="105">
        <f>IFERROR(VLOOKUP($G100,Table5[[QA]:[SCORING: SEA LEVEL RISE]], 4, FALSE),0)</f>
        <v>0</v>
      </c>
      <c r="K100" s="105">
        <f>IFERROR(VLOOKUP($G100,Table5[[QA]:[SCORING: SEA LEVEL RISE]], 5, FALSE),0)</f>
        <v>0</v>
      </c>
      <c r="L100" s="106">
        <f>IFERROR(VLOOKUP($G100,Table5[[QA]:[SCORING: SEA LEVEL RISE]], 6, FALSE),0)</f>
        <v>0</v>
      </c>
      <c r="N100" s="11"/>
    </row>
    <row r="101" spans="1:14" x14ac:dyDescent="0.35">
      <c r="A101" t="s">
        <v>225</v>
      </c>
      <c r="C101" s="164"/>
      <c r="D101" s="57" t="s">
        <v>226</v>
      </c>
      <c r="E101" s="50"/>
      <c r="G101" t="str">
        <f t="shared" si="1"/>
        <v>39f)Shading/cooling</v>
      </c>
      <c r="H101" s="104">
        <f>IFERROR(VLOOKUP($G101,Table5[[QA]:[SCORING: SEA LEVEL RISE]], 2, FALSE),0)</f>
        <v>0</v>
      </c>
      <c r="I101" s="105">
        <f>IFERROR(VLOOKUP($G101,Table5[[QA]:[SCORING: SEA LEVEL RISE]], 3, FALSE),0)</f>
        <v>0</v>
      </c>
      <c r="J101" s="105">
        <f>IFERROR(VLOOKUP($G101,Table5[[QA]:[SCORING: SEA LEVEL RISE]], 4, FALSE),0)</f>
        <v>0</v>
      </c>
      <c r="K101" s="105">
        <f>IFERROR(VLOOKUP($G101,Table5[[QA]:[SCORING: SEA LEVEL RISE]], 5, FALSE),0)</f>
        <v>0</v>
      </c>
      <c r="L101" s="106">
        <f>IFERROR(VLOOKUP($G101,Table5[[QA]:[SCORING: SEA LEVEL RISE]], 6, FALSE),0)</f>
        <v>0</v>
      </c>
      <c r="N101" s="11"/>
    </row>
    <row r="102" spans="1:14" ht="30" customHeight="1" thickBot="1" x14ac:dyDescent="0.4">
      <c r="A102" t="s">
        <v>227</v>
      </c>
      <c r="C102" s="45" t="s">
        <v>227</v>
      </c>
      <c r="D102" s="46" t="s">
        <v>228</v>
      </c>
      <c r="E102" s="50"/>
      <c r="G102" t="str">
        <f t="shared" si="1"/>
        <v>40)Does the landscaping section suggest methods to modify plant selections based on changing climate conditions?</v>
      </c>
      <c r="H102" s="110">
        <f>IFERROR(VLOOKUP($G102,Table5[[QA]:[SCORING: SEA LEVEL RISE]], 2, FALSE),0)</f>
        <v>0</v>
      </c>
      <c r="I102" s="111">
        <f>IFERROR(VLOOKUP($G102,Table5[[QA]:[SCORING: SEA LEVEL RISE]], 3, FALSE),0)</f>
        <v>0</v>
      </c>
      <c r="J102" s="111">
        <f>IFERROR(VLOOKUP($G102,Table5[[QA]:[SCORING: SEA LEVEL RISE]], 4, FALSE),0)</f>
        <v>0</v>
      </c>
      <c r="K102" s="111">
        <f>IFERROR(VLOOKUP($G102,Table5[[QA]:[SCORING: SEA LEVEL RISE]], 5, FALSE),0)</f>
        <v>0</v>
      </c>
      <c r="L102" s="112">
        <f>IFERROR(VLOOKUP($G102,Table5[[QA]:[SCORING: SEA LEVEL RISE]], 6, FALSE),0)</f>
        <v>0</v>
      </c>
      <c r="N102" s="11"/>
    </row>
    <row r="103" spans="1:14" ht="15" thickBot="1" x14ac:dyDescent="0.4"/>
    <row r="104" spans="1:14" ht="62.15" hidden="1" customHeight="1" x14ac:dyDescent="0.35">
      <c r="H104" s="6" t="s">
        <v>229</v>
      </c>
      <c r="I104" s="6" t="s">
        <v>230</v>
      </c>
      <c r="J104" s="6" t="s">
        <v>231</v>
      </c>
      <c r="K104" s="6" t="s">
        <v>232</v>
      </c>
      <c r="L104" s="6" t="s">
        <v>233</v>
      </c>
      <c r="M104" s="6" t="s">
        <v>234</v>
      </c>
    </row>
    <row r="105" spans="1:14" hidden="1" x14ac:dyDescent="0.35">
      <c r="H105" s="6">
        <f>SUM(H$6:H$102)</f>
        <v>0</v>
      </c>
      <c r="I105" s="6">
        <f>SUM(I$6:I$102)</f>
        <v>0</v>
      </c>
      <c r="J105" s="6">
        <f>SUM(J$6:J$102)</f>
        <v>0</v>
      </c>
      <c r="K105" s="6">
        <f>SUM(K$6:K$102)</f>
        <v>0</v>
      </c>
      <c r="L105" s="6">
        <f>SUM(L$6:L$102)</f>
        <v>0</v>
      </c>
    </row>
    <row r="106" spans="1:14" hidden="1" x14ac:dyDescent="0.35"/>
    <row r="107" spans="1:14" hidden="1" x14ac:dyDescent="0.35">
      <c r="D107" s="18"/>
      <c r="E107" s="2"/>
      <c r="F107" s="4"/>
      <c r="J107" s="4" t="s">
        <v>235</v>
      </c>
    </row>
    <row r="108" spans="1:14" hidden="1" x14ac:dyDescent="0.35">
      <c r="H108" t="s">
        <v>236</v>
      </c>
      <c r="I108" t="s">
        <v>237</v>
      </c>
      <c r="J108" t="s">
        <v>238</v>
      </c>
      <c r="K108" t="s">
        <v>239</v>
      </c>
      <c r="L108" t="s">
        <v>240</v>
      </c>
    </row>
    <row r="109" spans="1:14" hidden="1" x14ac:dyDescent="0.35">
      <c r="H109">
        <v>38</v>
      </c>
      <c r="I109">
        <v>52</v>
      </c>
      <c r="J109">
        <v>19</v>
      </c>
      <c r="K109">
        <v>18</v>
      </c>
      <c r="L109">
        <v>30</v>
      </c>
    </row>
    <row r="110" spans="1:14" hidden="1" x14ac:dyDescent="0.35"/>
    <row r="111" spans="1:14" ht="15" hidden="1" thickBot="1" x14ac:dyDescent="0.4"/>
    <row r="112" spans="1:14" ht="31.4" customHeight="1" thickBot="1" x14ac:dyDescent="0.4">
      <c r="C112" s="58" t="s">
        <v>241</v>
      </c>
      <c r="H112" s="156" t="s">
        <v>242</v>
      </c>
      <c r="I112" s="157"/>
      <c r="J112" s="157"/>
      <c r="K112" s="157"/>
      <c r="L112" s="158"/>
    </row>
    <row r="113" spans="8:12" ht="32.15" customHeight="1" thickBot="1" x14ac:dyDescent="0.4">
      <c r="H113" s="60" t="s">
        <v>243</v>
      </c>
      <c r="I113" s="60" t="s">
        <v>244</v>
      </c>
      <c r="J113" s="60" t="s">
        <v>245</v>
      </c>
      <c r="K113" s="60" t="s">
        <v>246</v>
      </c>
      <c r="L113" s="60" t="s">
        <v>247</v>
      </c>
    </row>
    <row r="114" spans="8:12" ht="15" thickBot="1" x14ac:dyDescent="0.4">
      <c r="H114" s="61">
        <f>H105/H109*10</f>
        <v>0</v>
      </c>
      <c r="I114" s="61">
        <f>I105/I109*10</f>
        <v>0</v>
      </c>
      <c r="J114" s="61">
        <f>J105/J109*10</f>
        <v>0</v>
      </c>
      <c r="K114" s="61">
        <f>K105/K109*10</f>
        <v>0</v>
      </c>
      <c r="L114" s="61">
        <f>L105/L109*10</f>
        <v>0</v>
      </c>
    </row>
    <row r="117" spans="8:12" x14ac:dyDescent="0.35">
      <c r="I117" s="63"/>
      <c r="J117" s="63"/>
      <c r="K117" s="63"/>
    </row>
    <row r="118" spans="8:12" x14ac:dyDescent="0.35">
      <c r="I118" s="62"/>
      <c r="J118" s="62"/>
      <c r="K118" s="62"/>
    </row>
    <row r="119" spans="8:12" x14ac:dyDescent="0.35">
      <c r="I119" s="63"/>
      <c r="J119" s="64"/>
      <c r="K119" s="64"/>
    </row>
    <row r="121" spans="8:12" ht="54" customHeight="1" x14ac:dyDescent="0.35">
      <c r="H121" s="153"/>
      <c r="I121" s="153"/>
      <c r="J121" s="153"/>
      <c r="K121" s="153"/>
      <c r="L121" s="153"/>
    </row>
  </sheetData>
  <sheetProtection sheet="1" objects="1" scenarios="1" selectLockedCells="1"/>
  <dataConsolidate/>
  <mergeCells count="53">
    <mergeCell ref="H85:L85"/>
    <mergeCell ref="H5:L5"/>
    <mergeCell ref="H10:L10"/>
    <mergeCell ref="H41:L41"/>
    <mergeCell ref="H54:L54"/>
    <mergeCell ref="H71:L71"/>
    <mergeCell ref="H48:L48"/>
    <mergeCell ref="H57:L57"/>
    <mergeCell ref="H64:L64"/>
    <mergeCell ref="H76:L76"/>
    <mergeCell ref="H80:L80"/>
    <mergeCell ref="H18:L18"/>
    <mergeCell ref="H14:L14"/>
    <mergeCell ref="H23:L23"/>
    <mergeCell ref="H33:L33"/>
    <mergeCell ref="H37:L37"/>
    <mergeCell ref="C33:C36"/>
    <mergeCell ref="C37:C40"/>
    <mergeCell ref="C48:C53"/>
    <mergeCell ref="C57:C61"/>
    <mergeCell ref="C64:C69"/>
    <mergeCell ref="H2:L2"/>
    <mergeCell ref="C5:E5"/>
    <mergeCell ref="C10:E10"/>
    <mergeCell ref="C41:E41"/>
    <mergeCell ref="C54:E54"/>
    <mergeCell ref="D14:E14"/>
    <mergeCell ref="D18:E18"/>
    <mergeCell ref="D23:E23"/>
    <mergeCell ref="D33:E33"/>
    <mergeCell ref="D37:E37"/>
    <mergeCell ref="D48:E48"/>
    <mergeCell ref="C4:D4"/>
    <mergeCell ref="C2:E2"/>
    <mergeCell ref="C14:C17"/>
    <mergeCell ref="C18:C22"/>
    <mergeCell ref="C23:C30"/>
    <mergeCell ref="H121:L121"/>
    <mergeCell ref="D57:E57"/>
    <mergeCell ref="D64:E64"/>
    <mergeCell ref="D76:E76"/>
    <mergeCell ref="D95:E95"/>
    <mergeCell ref="H112:L112"/>
    <mergeCell ref="C71:E71"/>
    <mergeCell ref="C85:E85"/>
    <mergeCell ref="D80:E80"/>
    <mergeCell ref="D89:E89"/>
    <mergeCell ref="C76:C79"/>
    <mergeCell ref="C80:C84"/>
    <mergeCell ref="C89:C92"/>
    <mergeCell ref="C95:C101"/>
    <mergeCell ref="H89:L89"/>
    <mergeCell ref="H95:L95"/>
  </mergeCells>
  <phoneticPr fontId="8" type="noConversion"/>
  <conditionalFormatting sqref="H114:L114">
    <cfRule type="cellIs" dxfId="11" priority="1" operator="between">
      <formula>7.6</formula>
      <formula>10</formula>
    </cfRule>
    <cfRule type="cellIs" dxfId="10" priority="2" operator="between">
      <formula>5.1</formula>
      <formula>7.5</formula>
    </cfRule>
    <cfRule type="cellIs" dxfId="9" priority="3" operator="between">
      <formula>2.6</formula>
      <formula>5</formula>
    </cfRule>
    <cfRule type="cellIs" dxfId="8" priority="4" operator="between">
      <formula>0</formula>
      <formula>2.5</formula>
    </cfRule>
  </conditionalFormatting>
  <dataValidations count="1">
    <dataValidation type="list" allowBlank="1" showInputMessage="1" showErrorMessage="1" sqref="E6" xr:uid="{68E90615-3D0C-454B-AACE-CD86251C4153}">
      <formula1>YesNo</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xr:uid="{CD165567-CA76-489C-854B-C375D3929D2C}">
          <x14:formula1>
            <xm:f>Score_Lookups!$C$81:$C$84</xm:f>
          </x14:formula1>
          <xm:sqref>E72</xm:sqref>
        </x14:dataValidation>
        <x14:dataValidation type="list" showInputMessage="1" showErrorMessage="1" xr:uid="{1106738A-F6DA-49E2-B0AF-6B29C9D0AEDD}">
          <x14:formula1>
            <xm:f>Score_Lookups!$C$14:$C$16</xm:f>
          </x14:formula1>
          <xm:sqref>E13</xm:sqref>
        </x14:dataValidation>
        <x14:dataValidation type="list" showInputMessage="1" showErrorMessage="1" xr:uid="{0CE7740F-33D5-4935-8CD0-07A79336F1B6}">
          <x14:formula1>
            <xm:f>Score_Lookups!$C$81:$C$84</xm:f>
          </x14:formula1>
          <xm:sqref>E72</xm:sqref>
        </x14:dataValidation>
        <x14:dataValidation type="list" showInputMessage="1" showErrorMessage="1" xr:uid="{82EF1363-B67C-41CE-B2D1-42F6048D9636}">
          <x14:formula1>
            <xm:f>Score_Lookups!$C$8:$C$12</xm:f>
          </x14:formula1>
          <xm:sqref>E11</xm:sqref>
        </x14:dataValidation>
        <x14:dataValidation type="list" allowBlank="1" showInputMessage="1" showErrorMessage="1" xr:uid="{EC9496C7-125F-4338-8E05-227F2F660A93}">
          <x14:formula1>
            <xm:f>Score_Lookups!$C$85:$C$87</xm:f>
          </x14:formula1>
          <xm:sqref>E73</xm:sqref>
        </x14:dataValidation>
        <x14:dataValidation type="list" allowBlank="1" showInputMessage="1" showErrorMessage="1" xr:uid="{EFC9D8F2-197C-4C24-80F4-7E6A9239CF7D}">
          <x14:formula1>
            <xm:f>Score_Lookups!$C$71:$C$73</xm:f>
          </x14:formula1>
          <xm:sqref>E63</xm:sqref>
        </x14:dataValidation>
        <x14:dataValidation type="list" allowBlank="1" showInputMessage="1" showErrorMessage="1" xr:uid="{1EB4FF7B-A61E-452B-9D38-AAF3F7AA5F20}">
          <x14:formula1>
            <xm:f>state_vulnerability_scores!$N$2:$N$3</xm:f>
          </x14:formula1>
          <xm:sqref>E7:E9 E12 E86:E88 E19:E22 E15:E17 E34:E36 E38:E40 E42:E47 E49:E53 E90:E94 E58:E62 E96:E102 E65:E70 E74:E75 E77:E79 E81:E84 E24:E32</xm:sqref>
        </x14:dataValidation>
        <x14:dataValidation type="list" allowBlank="1" showInputMessage="1" showErrorMessage="1" xr:uid="{14715CE4-90A0-4450-86F7-CCAB61AF7081}">
          <x14:formula1>
            <xm:f>Score_Lookups!$C$56:$C$59</xm:f>
          </x14:formula1>
          <xm:sqref>E55</xm:sqref>
        </x14:dataValidation>
        <x14:dataValidation type="list" allowBlank="1" showInputMessage="1" showErrorMessage="1" xr:uid="{10B68042-197B-4CD9-AE1E-FD35A014E770}">
          <x14:formula1>
            <xm:f>Score_Lookups!$C$60:$C$64</xm:f>
          </x14:formula1>
          <xm:sqref>E56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832D-DF7A-497F-9594-220F885AD6B7}">
  <sheetPr codeName="Sheet9"/>
  <dimension ref="B2:J29"/>
  <sheetViews>
    <sheetView showGridLines="0" tabSelected="1" topLeftCell="A10" workbookViewId="0">
      <selection activeCell="B16" sqref="B16"/>
    </sheetView>
  </sheetViews>
  <sheetFormatPr defaultRowHeight="14.5" x14ac:dyDescent="0.35"/>
  <cols>
    <col min="1" max="1" width="2.453125" customWidth="1"/>
    <col min="2" max="2" width="32.54296875" customWidth="1"/>
    <col min="3" max="3" width="16.54296875" customWidth="1"/>
    <col min="4" max="4" width="20.1796875" customWidth="1"/>
    <col min="5" max="5" width="36.453125" customWidth="1"/>
    <col min="6" max="6" width="5" customWidth="1"/>
    <col min="7" max="7" width="17.81640625" customWidth="1"/>
    <col min="8" max="8" width="17.453125" customWidth="1"/>
    <col min="9" max="9" width="38.453125" customWidth="1"/>
    <col min="10" max="10" width="99.81640625" style="66" customWidth="1"/>
  </cols>
  <sheetData>
    <row r="2" spans="2:10" ht="16" x14ac:dyDescent="0.4">
      <c r="B2" s="65" t="s">
        <v>248</v>
      </c>
    </row>
    <row r="3" spans="2:10" ht="15" thickBot="1" x14ac:dyDescent="0.4"/>
    <row r="4" spans="2:10" ht="32.15" customHeight="1" thickBot="1" x14ac:dyDescent="0.4">
      <c r="B4" s="145" t="s">
        <v>249</v>
      </c>
      <c r="C4" s="146"/>
      <c r="D4" s="193"/>
      <c r="E4" s="194"/>
      <c r="G4" s="186" t="s">
        <v>250</v>
      </c>
      <c r="H4" s="186"/>
      <c r="I4" s="187"/>
    </row>
    <row r="5" spans="2:10" ht="64.5" thickBot="1" x14ac:dyDescent="0.4">
      <c r="B5" s="77" t="s">
        <v>24</v>
      </c>
      <c r="C5" s="77" t="s">
        <v>251</v>
      </c>
      <c r="D5" s="77" t="s">
        <v>252</v>
      </c>
      <c r="E5" s="79" t="s">
        <v>253</v>
      </c>
      <c r="G5" s="59" t="s">
        <v>254</v>
      </c>
      <c r="H5" s="59" t="s">
        <v>255</v>
      </c>
      <c r="I5" s="59" t="s">
        <v>256</v>
      </c>
    </row>
    <row r="6" spans="2:10" ht="44" thickBot="1" x14ac:dyDescent="0.4">
      <c r="B6" s="84" t="s">
        <v>257</v>
      </c>
      <c r="C6" s="85">
        <f>'2. Enter State and Local Info'!C16</f>
        <v>0</v>
      </c>
      <c r="D6" s="86">
        <f>'3. Answer Assessment Questions'!I114</f>
        <v>0</v>
      </c>
      <c r="E6" s="87" t="s">
        <v>258</v>
      </c>
      <c r="G6" s="98" t="s">
        <v>259</v>
      </c>
      <c r="H6" s="99" t="s">
        <v>260</v>
      </c>
      <c r="I6" s="188" t="s">
        <v>261</v>
      </c>
    </row>
    <row r="7" spans="2:10" ht="53.5" customHeight="1" thickBot="1" x14ac:dyDescent="0.4">
      <c r="B7" s="88" t="s">
        <v>262</v>
      </c>
      <c r="C7" s="89">
        <f>'2. Enter State and Local Info'!C17</f>
        <v>0</v>
      </c>
      <c r="D7" s="90">
        <f>'3. Answer Assessment Questions'!J114</f>
        <v>0</v>
      </c>
      <c r="E7" s="87" t="s">
        <v>263</v>
      </c>
      <c r="G7" s="100" t="s">
        <v>264</v>
      </c>
      <c r="H7" s="101" t="s">
        <v>265</v>
      </c>
      <c r="I7" s="189"/>
    </row>
    <row r="8" spans="2:10" ht="61.5" customHeight="1" thickBot="1" x14ac:dyDescent="0.4">
      <c r="B8" s="91" t="s">
        <v>266</v>
      </c>
      <c r="C8" s="92">
        <f>'2. Enter State and Local Info'!C18</f>
        <v>0</v>
      </c>
      <c r="D8" s="90">
        <f>'3. Answer Assessment Questions'!K114</f>
        <v>0</v>
      </c>
      <c r="E8" s="87" t="s">
        <v>267</v>
      </c>
      <c r="G8" s="102" t="s">
        <v>268</v>
      </c>
      <c r="H8" s="101" t="s">
        <v>269</v>
      </c>
      <c r="I8" s="189"/>
    </row>
    <row r="9" spans="2:10" ht="58.5" customHeight="1" thickBot="1" x14ac:dyDescent="0.4">
      <c r="B9" s="88" t="s">
        <v>270</v>
      </c>
      <c r="C9" s="93">
        <f>'2. Enter State and Local Info'!C19</f>
        <v>0</v>
      </c>
      <c r="D9" s="94">
        <f>'3. Answer Assessment Questions'!L114</f>
        <v>0</v>
      </c>
      <c r="E9" s="87" t="s">
        <v>271</v>
      </c>
      <c r="G9" s="103" t="s">
        <v>272</v>
      </c>
      <c r="H9" s="99" t="s">
        <v>273</v>
      </c>
      <c r="I9" s="189"/>
    </row>
    <row r="10" spans="2:10" ht="68.150000000000006" customHeight="1" thickBot="1" x14ac:dyDescent="0.4">
      <c r="B10" s="95"/>
      <c r="C10" s="96"/>
      <c r="D10" s="90">
        <f>'3. Answer Assessment Questions'!H114</f>
        <v>0</v>
      </c>
      <c r="E10" s="97" t="s">
        <v>274</v>
      </c>
    </row>
    <row r="12" spans="2:10" ht="16" hidden="1" x14ac:dyDescent="0.4">
      <c r="G12" s="65"/>
    </row>
    <row r="13" spans="2:10" ht="16" x14ac:dyDescent="0.4">
      <c r="B13" s="65" t="s">
        <v>275</v>
      </c>
      <c r="G13" s="65"/>
    </row>
    <row r="14" spans="2:10" ht="20.5" customHeight="1" x14ac:dyDescent="0.4">
      <c r="B14" s="65" t="s">
        <v>276</v>
      </c>
      <c r="H14" s="35"/>
    </row>
    <row r="15" spans="2:10" ht="16" customHeight="1" thickBot="1" x14ac:dyDescent="0.45">
      <c r="B15" s="65"/>
      <c r="H15" s="35"/>
    </row>
    <row r="16" spans="2:10" ht="28.75" customHeight="1" thickTop="1" thickBot="1" x14ac:dyDescent="0.4">
      <c r="B16" s="68" t="s">
        <v>277</v>
      </c>
      <c r="H16" s="66"/>
      <c r="J16"/>
    </row>
    <row r="17" spans="2:7" ht="19.75" customHeight="1" thickTop="1" x14ac:dyDescent="0.35"/>
    <row r="18" spans="2:7" ht="33.65" customHeight="1" x14ac:dyDescent="0.35">
      <c r="B18" s="190" t="s">
        <v>39</v>
      </c>
      <c r="C18" s="191"/>
      <c r="D18" s="191"/>
      <c r="E18" s="191"/>
      <c r="F18" s="191"/>
      <c r="G18" s="192"/>
    </row>
    <row r="19" spans="2:7" ht="32.5" customHeight="1" x14ac:dyDescent="0.35">
      <c r="B19" s="180" t="str">
        <f>_xlfn.TEXTJOIN(CHAR(10),TRUE,Section1)</f>
        <v>No Recommendations</v>
      </c>
      <c r="C19" s="181"/>
      <c r="D19" s="181"/>
      <c r="E19" s="181"/>
      <c r="F19" s="181"/>
      <c r="G19" s="182"/>
    </row>
    <row r="20" spans="2:7" ht="19.399999999999999" customHeight="1" x14ac:dyDescent="0.35">
      <c r="B20" s="177" t="s">
        <v>48</v>
      </c>
      <c r="C20" s="178"/>
      <c r="D20" s="178"/>
      <c r="E20" s="178"/>
      <c r="F20" s="178"/>
      <c r="G20" s="179"/>
    </row>
    <row r="21" spans="2:7" ht="172.4" customHeight="1" x14ac:dyDescent="0.35">
      <c r="B21" s="180" t="str">
        <f>_xlfn.TEXTJOIN(CHAR(10),TRUE,Section2)</f>
        <v>No Recommendations</v>
      </c>
      <c r="C21" s="181"/>
      <c r="D21" s="181"/>
      <c r="E21" s="181"/>
      <c r="F21" s="181"/>
      <c r="G21" s="182"/>
    </row>
    <row r="22" spans="2:7" ht="20.5" customHeight="1" x14ac:dyDescent="0.35">
      <c r="B22" s="177" t="s">
        <v>109</v>
      </c>
      <c r="C22" s="178"/>
      <c r="D22" s="178"/>
      <c r="E22" s="178"/>
      <c r="F22" s="178"/>
      <c r="G22" s="179"/>
    </row>
    <row r="23" spans="2:7" ht="75" customHeight="1" x14ac:dyDescent="0.35">
      <c r="B23" s="180" t="str">
        <f>_xlfn.TEXTJOIN(CHAR(10),TRUE,Section3)</f>
        <v>No Recommendations</v>
      </c>
      <c r="C23" s="181"/>
      <c r="D23" s="181"/>
      <c r="E23" s="181"/>
      <c r="F23" s="181"/>
      <c r="G23" s="182"/>
    </row>
    <row r="24" spans="2:7" ht="16.75" customHeight="1" x14ac:dyDescent="0.35">
      <c r="B24" s="177" t="s">
        <v>134</v>
      </c>
      <c r="C24" s="178"/>
      <c r="D24" s="178"/>
      <c r="E24" s="178"/>
      <c r="F24" s="178"/>
      <c r="G24" s="179"/>
    </row>
    <row r="25" spans="2:7" ht="134.5" customHeight="1" x14ac:dyDescent="0.35">
      <c r="B25" s="180" t="str">
        <f>_xlfn.TEXTJOIN(CHAR(10),TRUE,Section4)</f>
        <v>No Recommendations</v>
      </c>
      <c r="C25" s="181"/>
      <c r="D25" s="181"/>
      <c r="E25" s="181"/>
      <c r="F25" s="181"/>
      <c r="G25" s="182"/>
    </row>
    <row r="26" spans="2:7" ht="18" customHeight="1" x14ac:dyDescent="0.35">
      <c r="B26" s="177" t="s">
        <v>167</v>
      </c>
      <c r="C26" s="178"/>
      <c r="D26" s="178"/>
      <c r="E26" s="178"/>
      <c r="F26" s="178"/>
      <c r="G26" s="179"/>
    </row>
    <row r="27" spans="2:7" ht="74.5" customHeight="1" x14ac:dyDescent="0.35">
      <c r="B27" s="180" t="str">
        <f>_xlfn.TEXTJOIN(CHAR(10),TRUE,Section5)</f>
        <v>No Recommendations</v>
      </c>
      <c r="C27" s="181"/>
      <c r="D27" s="181"/>
      <c r="E27" s="181"/>
      <c r="F27" s="181"/>
      <c r="G27" s="182"/>
    </row>
    <row r="28" spans="2:7" ht="18.649999999999999" customHeight="1" x14ac:dyDescent="0.35">
      <c r="B28" s="177" t="s">
        <v>194</v>
      </c>
      <c r="C28" s="178"/>
      <c r="D28" s="178"/>
      <c r="E28" s="178"/>
      <c r="F28" s="178"/>
      <c r="G28" s="179"/>
    </row>
    <row r="29" spans="2:7" ht="101.15" customHeight="1" x14ac:dyDescent="0.35">
      <c r="B29" s="183" t="str">
        <f>_xlfn.TEXTJOIN(CHAR(10),TRUE,Section6)</f>
        <v>No Recommendations</v>
      </c>
      <c r="C29" s="184"/>
      <c r="D29" s="184"/>
      <c r="E29" s="184"/>
      <c r="F29" s="184"/>
      <c r="G29" s="185"/>
    </row>
  </sheetData>
  <mergeCells count="15">
    <mergeCell ref="G4:I4"/>
    <mergeCell ref="I6:I9"/>
    <mergeCell ref="B18:G18"/>
    <mergeCell ref="B19:G19"/>
    <mergeCell ref="B4:E4"/>
    <mergeCell ref="B20:G20"/>
    <mergeCell ref="B21:G21"/>
    <mergeCell ref="B22:G22"/>
    <mergeCell ref="B23:G23"/>
    <mergeCell ref="B29:G29"/>
    <mergeCell ref="B24:G24"/>
    <mergeCell ref="B25:G25"/>
    <mergeCell ref="B26:G26"/>
    <mergeCell ref="B27:G27"/>
    <mergeCell ref="B28:G28"/>
  </mergeCells>
  <conditionalFormatting sqref="B19 B21 B23 B25 B27 B29">
    <cfRule type="cellIs" dxfId="7" priority="1" operator="equal">
      <formula>"No Recommendations"</formula>
    </cfRule>
  </conditionalFormatting>
  <conditionalFormatting sqref="C6:C9">
    <cfRule type="containsText" dxfId="6" priority="3" operator="containsText" text="High">
      <formula>NOT(ISERROR(SEARCH("High",C6)))</formula>
    </cfRule>
    <cfRule type="containsText" dxfId="5" priority="4" operator="containsText" text="Moderate">
      <formula>NOT(ISERROR(SEARCH("Moderate",C6)))</formula>
    </cfRule>
    <cfRule type="containsText" dxfId="4" priority="5" operator="containsText" text="Low">
      <formula>NOT(ISERROR(SEARCH("Low",C6)))</formula>
    </cfRule>
  </conditionalFormatting>
  <conditionalFormatting sqref="D6:E10">
    <cfRule type="cellIs" dxfId="3" priority="6" operator="between">
      <formula>7.6</formula>
      <formula>10</formula>
    </cfRule>
    <cfRule type="cellIs" dxfId="2" priority="7" operator="between">
      <formula>5.1</formula>
      <formula>7.5</formula>
    </cfRule>
    <cfRule type="cellIs" dxfId="1" priority="8" operator="between">
      <formula>2.6</formula>
      <formula>5</formula>
    </cfRule>
    <cfRule type="cellIs" dxfId="0" priority="9" operator="between">
      <formula>0</formula>
      <formula>2.5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8B3450-3CC3-419B-BC6B-A5434FF47A8E}">
          <x14:formula1>
            <xm:f>state_vulnerability_scores!$J$10:$J$16</xm:f>
          </x14:formula1>
          <xm:sqref>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6D6E-6ED6-44C9-A201-8D51C7F48EAE}">
  <sheetPr codeName="Sheet5"/>
  <dimension ref="A3:T115"/>
  <sheetViews>
    <sheetView topLeftCell="F59" workbookViewId="0">
      <selection activeCell="E17" sqref="E17"/>
    </sheetView>
  </sheetViews>
  <sheetFormatPr defaultRowHeight="14.5" x14ac:dyDescent="0.35"/>
  <cols>
    <col min="1" max="1" width="10.54296875" customWidth="1"/>
    <col min="2" max="2" width="61.453125" style="1" customWidth="1"/>
    <col min="3" max="3" width="31.453125" customWidth="1"/>
    <col min="4" max="4" width="29.453125" customWidth="1"/>
    <col min="5" max="5" width="27.54296875" customWidth="1"/>
    <col min="6" max="6" width="31" customWidth="1"/>
    <col min="7" max="7" width="21.453125" customWidth="1"/>
    <col min="8" max="8" width="25.453125" customWidth="1"/>
  </cols>
  <sheetData>
    <row r="3" spans="1:20" x14ac:dyDescent="0.35">
      <c r="A3" t="s">
        <v>278</v>
      </c>
      <c r="B3" s="1" t="s">
        <v>32</v>
      </c>
      <c r="C3" t="s">
        <v>279</v>
      </c>
      <c r="D3" t="s">
        <v>280</v>
      </c>
      <c r="E3" t="s">
        <v>34</v>
      </c>
      <c r="F3" t="s">
        <v>281</v>
      </c>
      <c r="G3" t="s">
        <v>36</v>
      </c>
      <c r="H3" t="s">
        <v>282</v>
      </c>
      <c r="I3" t="s">
        <v>38</v>
      </c>
    </row>
    <row r="4" spans="1:20" ht="29" x14ac:dyDescent="0.35">
      <c r="A4" t="s">
        <v>40</v>
      </c>
      <c r="B4" s="1" t="str">
        <f>VLOOKUP(A4,'3. Answer Assessment Questions'!A$1:D$109,4,FALSE)</f>
        <v>Do stormwater standards provide detailed guidance for selecting and designing appropriate stormwater best management pratices (BMPs)?</v>
      </c>
      <c r="C4" t="s">
        <v>283</v>
      </c>
      <c r="D4" t="str">
        <f>Table5[[#This Row],[Question '#]]&amp;Table5[[#This Row],[STORMWATER MANAGEMENT QUESTIONS]]&amp;Table5[[#This Row],[SELECT ANSWERS]]</f>
        <v>1)Do stormwater standards provide detailed guidance for selecting and designing appropriate stormwater best management pratices (BMPs)?Yes</v>
      </c>
      <c r="E4">
        <v>1</v>
      </c>
      <c r="O4" t="s">
        <v>283</v>
      </c>
      <c r="P4">
        <v>0</v>
      </c>
      <c r="Q4">
        <v>1</v>
      </c>
      <c r="R4">
        <v>1</v>
      </c>
      <c r="S4">
        <v>1</v>
      </c>
      <c r="T4">
        <v>1</v>
      </c>
    </row>
    <row r="5" spans="1:20" ht="29" x14ac:dyDescent="0.35">
      <c r="A5" t="s">
        <v>42</v>
      </c>
      <c r="B5" s="1" t="str">
        <f>VLOOKUP(A5,'3. Answer Assessment Questions'!A$1:D$109,4,FALSE)</f>
        <v>Do the standards include a climate change section or mention of the effects of climate change on stormwater management?</v>
      </c>
      <c r="C5" t="s">
        <v>283</v>
      </c>
      <c r="D5" t="str">
        <f>Table5[[#This Row],[Question '#]]&amp;Table5[[#This Row],[STORMWATER MANAGEMENT QUESTIONS]]&amp;Table5[[#This Row],[SELECT ANSWERS]]</f>
        <v>2)Do the standards include a climate change section or mention of the effects of climate change on stormwater management?Yes</v>
      </c>
      <c r="F5">
        <v>1</v>
      </c>
      <c r="G5">
        <v>1</v>
      </c>
      <c r="H5">
        <v>1</v>
      </c>
    </row>
    <row r="6" spans="1:20" x14ac:dyDescent="0.35">
      <c r="A6" t="s">
        <v>44</v>
      </c>
      <c r="B6" s="1" t="str">
        <f>VLOOKUP(A6,'3. Answer Assessment Questions'!A$1:D$109,4,FALSE)</f>
        <v>If so, does this section explicitly address or mention sea level rise?</v>
      </c>
      <c r="C6" t="s">
        <v>283</v>
      </c>
      <c r="D6" t="str">
        <f>Table5[[#This Row],[Question '#]]&amp;Table5[[#This Row],[STORMWATER MANAGEMENT QUESTIONS]]&amp;Table5[[#This Row],[SELECT ANSWERS]]</f>
        <v>2a)If so, does this section explicitly address or mention sea level rise?Yes</v>
      </c>
      <c r="I6">
        <v>1</v>
      </c>
    </row>
    <row r="7" spans="1:20" ht="29" x14ac:dyDescent="0.35">
      <c r="A7" t="s">
        <v>46</v>
      </c>
      <c r="B7" s="1" t="str">
        <f>VLOOKUP(A7,'3. Answer Assessment Questions'!A$1:D$109,4,FALSE)</f>
        <v>If applicable, does the climate section include specific recommendations for how to design practices to adapt to climate change?</v>
      </c>
      <c r="C7" t="s">
        <v>283</v>
      </c>
      <c r="D7" t="str">
        <f>Table5[[#This Row],[Question '#]]&amp;Table5[[#This Row],[STORMWATER MANAGEMENT QUESTIONS]]&amp;Table5[[#This Row],[SELECT ANSWERS]]</f>
        <v>2b)If applicable, does the climate section include specific recommendations for how to design practices to adapt to climate change?Yes</v>
      </c>
      <c r="F7">
        <v>1</v>
      </c>
      <c r="G7">
        <v>1</v>
      </c>
      <c r="H7">
        <v>1</v>
      </c>
      <c r="I7">
        <f>IF('3. Answer Assessment Questions'!E8="Yes",1,)</f>
        <v>0</v>
      </c>
    </row>
    <row r="8" spans="1:20" ht="29" x14ac:dyDescent="0.35">
      <c r="A8" t="s">
        <v>49</v>
      </c>
      <c r="B8" s="1" t="str">
        <f>VLOOKUP(A8,'3. Answer Assessment Questions'!A$1:D$109,4,FALSE)</f>
        <v>What is the source of data for water quantity (e.g., flood or channel protection) storms?</v>
      </c>
      <c r="D8" t="str">
        <f>Table5[[#This Row],[Question '#]]&amp;Table5[[#This Row],[STORMWATER MANAGEMENT QUESTIONS]]&amp;Table5[[#This Row],[SELECT ANSWERS]]</f>
        <v>3)What is the source of data for water quantity (e.g., flood or channel protection) storms?</v>
      </c>
    </row>
    <row r="9" spans="1:20" ht="29" x14ac:dyDescent="0.35">
      <c r="A9" t="s">
        <v>49</v>
      </c>
      <c r="B9" s="1" t="str">
        <f>VLOOKUP(A9,'3. Answer Assessment Questions'!A$1:D$109,4,FALSE)</f>
        <v>What is the source of data for water quantity (e.g., flood or channel protection) storms?</v>
      </c>
      <c r="C9" t="s">
        <v>284</v>
      </c>
      <c r="D9" t="str">
        <f>Table5[[#This Row],[Question '#]]&amp;Table5[[#This Row],[STORMWATER MANAGEMENT QUESTIONS]]&amp;Table5[[#This Row],[SELECT ANSWERS]]</f>
        <v>3)What is the source of data for water quantity (e.g., flood or channel protection) storms?Atlas 14</v>
      </c>
      <c r="E9">
        <v>1</v>
      </c>
      <c r="F9">
        <v>1</v>
      </c>
    </row>
    <row r="10" spans="1:20" ht="29" x14ac:dyDescent="0.35">
      <c r="A10" t="s">
        <v>49</v>
      </c>
      <c r="B10" s="1" t="str">
        <f>VLOOKUP(A10,'3. Answer Assessment Questions'!A$1:D$109,4,FALSE)</f>
        <v>What is the source of data for water quantity (e.g., flood or channel protection) storms?</v>
      </c>
      <c r="C10" t="s">
        <v>285</v>
      </c>
      <c r="D10" t="str">
        <f>Table5[[#This Row],[Question '#]]&amp;Table5[[#This Row],[STORMWATER MANAGEMENT QUESTIONS]]&amp;Table5[[#This Row],[SELECT ANSWERS]]</f>
        <v>3)What is the source of data for water quantity (e.g., flood or channel protection) storms?Atlas 14+ (e.g., using storms defined in Atlas 14 and adding increasing storm depth as a factor of safety)</v>
      </c>
      <c r="E10">
        <v>1</v>
      </c>
      <c r="F10">
        <v>2</v>
      </c>
    </row>
    <row r="11" spans="1:20" ht="29" x14ac:dyDescent="0.35">
      <c r="A11" t="s">
        <v>49</v>
      </c>
      <c r="B11" s="1" t="str">
        <f>VLOOKUP(A11,'3. Answer Assessment Questions'!A$1:D$109,4,FALSE)</f>
        <v>What is the source of data for water quantity (e.g., flood or channel protection) storms?</v>
      </c>
      <c r="C11" t="s">
        <v>286</v>
      </c>
      <c r="D11" t="str">
        <f>Table5[[#This Row],[Question '#]]&amp;Table5[[#This Row],[STORMWATER MANAGEMENT QUESTIONS]]&amp;Table5[[#This Row],[SELECT ANSWERS]]</f>
        <v>3)What is the source of data for water quantity (e.g., flood or channel protection) storms?Downscaled or Projected Data</v>
      </c>
      <c r="E11">
        <v>1</v>
      </c>
      <c r="F11">
        <v>2</v>
      </c>
    </row>
    <row r="12" spans="1:20" ht="29" x14ac:dyDescent="0.35">
      <c r="A12" t="s">
        <v>49</v>
      </c>
      <c r="B12" s="1" t="str">
        <f>VLOOKUP(A12,'3. Answer Assessment Questions'!A$1:D$109,4,FALSE)</f>
        <v>What is the source of data for water quantity (e.g., flood or channel protection) storms?</v>
      </c>
      <c r="C12" t="s">
        <v>287</v>
      </c>
      <c r="D12" t="str">
        <f>Table5[[#This Row],[Question '#]]&amp;Table5[[#This Row],[STORMWATER MANAGEMENT QUESTIONS]]&amp;Table5[[#This Row],[SELECT ANSWERS]]</f>
        <v>3)What is the source of data for water quantity (e.g., flood or channel protection) storms?Unknown or not Identified</v>
      </c>
    </row>
    <row r="13" spans="1:20" ht="29" x14ac:dyDescent="0.35">
      <c r="A13" t="s">
        <v>51</v>
      </c>
      <c r="B13" s="1" t="str">
        <f>VLOOKUP(A13,'3. Answer Assessment Questions'!A$1:D$109,4,FALSE)</f>
        <v>Are design storms incorporated by reference (i.e. automatically updated as information changes)?</v>
      </c>
      <c r="C13" t="s">
        <v>283</v>
      </c>
      <c r="D13" t="str">
        <f>Table5[[#This Row],[Question '#]]&amp;Table5[[#This Row],[STORMWATER MANAGEMENT QUESTIONS]]&amp;Table5[[#This Row],[SELECT ANSWERS]]</f>
        <v>4)Are design storms incorporated by reference (i.e. automatically updated as information changes)?Yes</v>
      </c>
      <c r="E13">
        <v>1</v>
      </c>
      <c r="F13">
        <v>1</v>
      </c>
    </row>
    <row r="14" spans="1:20" x14ac:dyDescent="0.35">
      <c r="A14" t="s">
        <v>53</v>
      </c>
      <c r="B14" s="1" t="str">
        <f>VLOOKUP(A14,'3. Answer Assessment Questions'!A$1:D$109,4,FALSE)</f>
        <v>What is the objective of water quantity sizing?</v>
      </c>
      <c r="C14" t="s">
        <v>288</v>
      </c>
      <c r="D14" t="str">
        <f>Table5[[#This Row],[Question '#]]&amp;Table5[[#This Row],[STORMWATER MANAGEMENT QUESTIONS]]&amp;Table5[[#This Row],[SELECT ANSWERS]]</f>
        <v>5)What is the objective of water quantity sizing?Match Post-Developed to Pre-Developed conditions</v>
      </c>
      <c r="E14">
        <v>1</v>
      </c>
      <c r="F14">
        <v>1</v>
      </c>
    </row>
    <row r="15" spans="1:20" x14ac:dyDescent="0.35">
      <c r="A15" t="s">
        <v>53</v>
      </c>
      <c r="B15" s="1" t="str">
        <f>VLOOKUP(A15,'3. Answer Assessment Questions'!A$1:D$109,4,FALSE)</f>
        <v>What is the objective of water quantity sizing?</v>
      </c>
      <c r="C15" t="s">
        <v>289</v>
      </c>
      <c r="D15" t="str">
        <f>Table5[[#This Row],[Question '#]]&amp;Table5[[#This Row],[STORMWATER MANAGEMENT QUESTIONS]]&amp;Table5[[#This Row],[SELECT ANSWERS]]</f>
        <v>5)What is the objective of water quantity sizing?Overcontrol (e.g., reduce peak discharge by 20%)</v>
      </c>
      <c r="E15">
        <v>1</v>
      </c>
      <c r="F15">
        <v>2</v>
      </c>
    </row>
    <row r="16" spans="1:20" x14ac:dyDescent="0.35">
      <c r="A16" t="s">
        <v>53</v>
      </c>
      <c r="B16" s="1" t="str">
        <f>VLOOKUP(A16,'3. Answer Assessment Questions'!A$1:D$109,4,FALSE)</f>
        <v>What is the objective of water quantity sizing?</v>
      </c>
      <c r="C16" t="s">
        <v>290</v>
      </c>
      <c r="D16" t="str">
        <f>Table5[[#This Row],[Question '#]]&amp;Table5[[#This Row],[STORMWATER MANAGEMENT QUESTIONS]]&amp;Table5[[#This Row],[SELECT ANSWERS]]</f>
        <v>5)What is the objective of water quantity sizing?Match Post-Developed with Future storm to Pre-Developed with Current Storm</v>
      </c>
      <c r="E16">
        <v>1</v>
      </c>
      <c r="F16">
        <v>2</v>
      </c>
    </row>
    <row r="17" spans="1:7" ht="29" x14ac:dyDescent="0.35">
      <c r="A17" t="s">
        <v>55</v>
      </c>
      <c r="B17" s="1" t="str">
        <f>VLOOKUP(A17,'3. Answer Assessment Questions'!A$1:D$109,4,FALSE)</f>
        <v>Are any of these features incorporated into water quantity sizing ? (select "Yes" for all that apply)</v>
      </c>
      <c r="D17" t="str">
        <f>Table5[[#This Row],[Question '#]]&amp;Table5[[#This Row],[STORMWATER MANAGEMENT QUESTIONS]]&amp;Table5[[#This Row],[SELECT ANSWERS]]</f>
        <v>6)Are any of these features incorporated into water quantity sizing ? (select "Yes" for all that apply)</v>
      </c>
    </row>
    <row r="18" spans="1:7" ht="29" x14ac:dyDescent="0.35">
      <c r="A18" t="s">
        <v>57</v>
      </c>
      <c r="B18" s="1" t="str">
        <f>VLOOKUP(A18,'3. Answer Assessment Questions'!A$1:D$109,4,FALSE)</f>
        <v>Risk-based approach (e.g., providing greater flood control in flood-prone areas)</v>
      </c>
      <c r="C18" t="s">
        <v>283</v>
      </c>
      <c r="D18" t="str">
        <f>Table5[[#This Row],[Question '#]]&amp;Table5[[#This Row],[STORMWATER MANAGEMENT QUESTIONS]]&amp;Table5[[#This Row],[SELECT ANSWERS]]</f>
        <v>6a)Risk-based approach (e.g., providing greater flood control in flood-prone areas)Yes</v>
      </c>
      <c r="E18" s="20"/>
      <c r="F18" s="21">
        <v>1</v>
      </c>
    </row>
    <row r="19" spans="1:7" ht="29" x14ac:dyDescent="0.35">
      <c r="A19" t="s">
        <v>59</v>
      </c>
      <c r="B19" s="1" t="str">
        <f>VLOOKUP(A19,'3. Answer Assessment Questions'!A$1:D$109,4,FALSE)</f>
        <v>Continuous models based on existing rainfall patterns or a "typical year" are used to establish targets</v>
      </c>
      <c r="C19" t="s">
        <v>283</v>
      </c>
      <c r="D19" t="str">
        <f>Table5[[#This Row],[Question '#]]&amp;Table5[[#This Row],[STORMWATER MANAGEMENT QUESTIONS]]&amp;Table5[[#This Row],[SELECT ANSWERS]]</f>
        <v>6b)Continuous models based on existing rainfall patterns or a "typical year" are used to establish targetsYes</v>
      </c>
      <c r="E19" s="20">
        <v>1</v>
      </c>
      <c r="F19" s="21">
        <v>1</v>
      </c>
    </row>
    <row r="20" spans="1:7" ht="29" x14ac:dyDescent="0.35">
      <c r="A20" t="s">
        <v>61</v>
      </c>
      <c r="B20" s="1" t="str">
        <f>VLOOKUP(A20,'3. Answer Assessment Questions'!A$1:D$109,4,FALSE)</f>
        <v>Continuous models based on projected rainfall patterns (assuming climate change) are used to establish targets</v>
      </c>
      <c r="C20" t="s">
        <v>283</v>
      </c>
      <c r="D20" t="str">
        <f>Table5[[#This Row],[Question '#]]&amp;Table5[[#This Row],[STORMWATER MANAGEMENT QUESTIONS]]&amp;Table5[[#This Row],[SELECT ANSWERS]]</f>
        <v>6c)Continuous models based on projected rainfall patterns (assuming climate change) are used to establish targetsYes</v>
      </c>
      <c r="E20" s="20">
        <v>1</v>
      </c>
      <c r="F20" s="21">
        <v>2</v>
      </c>
    </row>
    <row r="21" spans="1:7" ht="39" customHeight="1" x14ac:dyDescent="0.35">
      <c r="A21" t="s">
        <v>63</v>
      </c>
      <c r="B21" s="1" t="str">
        <f>VLOOKUP(A21,'3. Answer Assessment Questions'!A$1:D$109,4,FALSE)</f>
        <v>In addition to quantity (flood) control what other goals are incorporated into BMP sizing standards? (select "Yes" for all that apply)</v>
      </c>
      <c r="D21" t="str">
        <f>Table5[[#This Row],[Question '#]]&amp;Table5[[#This Row],[STORMWATER MANAGEMENT QUESTIONS]]&amp;Table5[[#This Row],[SELECT ANSWERS]]</f>
        <v>7)In addition to quantity (flood) control what other goals are incorporated into BMP sizing standards? (select "Yes" for all that apply)</v>
      </c>
      <c r="E21" s="20"/>
      <c r="F21" s="21"/>
    </row>
    <row r="22" spans="1:7" x14ac:dyDescent="0.35">
      <c r="A22" t="s">
        <v>65</v>
      </c>
      <c r="B22" s="1" t="str">
        <f>VLOOKUP(A22,'3. Answer Assessment Questions'!A$1:D$109,4,FALSE)</f>
        <v>Channel protection</v>
      </c>
      <c r="C22" t="s">
        <v>283</v>
      </c>
      <c r="D22" t="str">
        <f>Table5[[#This Row],[Question '#]]&amp;Table5[[#This Row],[STORMWATER MANAGEMENT QUESTIONS]]&amp;Table5[[#This Row],[SELECT ANSWERS]]</f>
        <v>7a)Channel protectionYes</v>
      </c>
      <c r="E22" s="20">
        <v>1</v>
      </c>
      <c r="F22" s="21">
        <v>1</v>
      </c>
      <c r="G22" s="16"/>
    </row>
    <row r="23" spans="1:7" x14ac:dyDescent="0.35">
      <c r="A23" t="s">
        <v>67</v>
      </c>
      <c r="B23" s="1" t="str">
        <f>VLOOKUP(A23,'3. Answer Assessment Questions'!A$1:D$109,4,FALSE)</f>
        <v>Water quality</v>
      </c>
      <c r="C23" t="s">
        <v>283</v>
      </c>
      <c r="D23" t="str">
        <f>Table5[[#This Row],[Question '#]]&amp;Table5[[#This Row],[STORMWATER MANAGEMENT QUESTIONS]]&amp;Table5[[#This Row],[SELECT ANSWERS]]</f>
        <v>7b)Water qualityYes</v>
      </c>
      <c r="E23" s="20">
        <v>1</v>
      </c>
      <c r="F23" s="21">
        <v>1</v>
      </c>
      <c r="G23" s="16"/>
    </row>
    <row r="24" spans="1:7" x14ac:dyDescent="0.35">
      <c r="A24" t="s">
        <v>69</v>
      </c>
      <c r="B24" s="1" t="str">
        <f>VLOOKUP(A24,'3. Answer Assessment Questions'!A$1:D$109,4,FALSE)</f>
        <v>Recharge or runoff reduction</v>
      </c>
      <c r="C24" t="s">
        <v>283</v>
      </c>
      <c r="D24" t="str">
        <f>Table5[[#This Row],[Question '#]]&amp;Table5[[#This Row],[STORMWATER MANAGEMENT QUESTIONS]]&amp;Table5[[#This Row],[SELECT ANSWERS]]</f>
        <v>7c)Recharge or runoff reductionYes</v>
      </c>
      <c r="E24" s="16">
        <v>1</v>
      </c>
      <c r="F24" s="16">
        <v>1</v>
      </c>
      <c r="G24" s="16"/>
    </row>
    <row r="25" spans="1:7" x14ac:dyDescent="0.35">
      <c r="A25" t="s">
        <v>71</v>
      </c>
      <c r="B25" s="1" t="str">
        <f>VLOOKUP(A25,'3. Answer Assessment Questions'!A$1:D$109,4,FALSE)</f>
        <v>Rainwater harvesting</v>
      </c>
      <c r="C25" t="s">
        <v>283</v>
      </c>
      <c r="D25" t="str">
        <f>Table5[[#This Row],[Question '#]]&amp;Table5[[#This Row],[STORMWATER MANAGEMENT QUESTIONS]]&amp;Table5[[#This Row],[SELECT ANSWERS]]</f>
        <v>7d)Rainwater harvestingYes</v>
      </c>
      <c r="E25" s="16"/>
      <c r="F25" s="16"/>
      <c r="G25" s="16">
        <v>1</v>
      </c>
    </row>
    <row r="26" spans="1:7" ht="29" x14ac:dyDescent="0.35">
      <c r="A26" t="s">
        <v>73</v>
      </c>
      <c r="B26" s="1" t="str">
        <f>VLOOKUP(A26,'3. Answer Assessment Questions'!A$1:D$109,4,FALSE)</f>
        <v>What storm or method is used to size practices for water quality or runoff reduction? (select "Yes" for all that apply)</v>
      </c>
      <c r="D26" t="str">
        <f>Table5[[#This Row],[Question '#]]&amp;Table5[[#This Row],[STORMWATER MANAGEMENT QUESTIONS]]&amp;Table5[[#This Row],[SELECT ANSWERS]]</f>
        <v>8)What storm or method is used to size practices for water quality or runoff reduction? (select "Yes" for all that apply)</v>
      </c>
      <c r="E26" s="20"/>
      <c r="F26" s="21"/>
    </row>
    <row r="27" spans="1:7" x14ac:dyDescent="0.35">
      <c r="A27" t="s">
        <v>75</v>
      </c>
      <c r="B27" s="1" t="str">
        <f>VLOOKUP(A27,'3. Answer Assessment Questions'!A$1:D$109,4,FALSE)</f>
        <v>No specific storm is identified</v>
      </c>
      <c r="C27" t="s">
        <v>283</v>
      </c>
      <c r="D27" t="str">
        <f>Table5[[#This Row],[Question '#]]&amp;Table5[[#This Row],[STORMWATER MANAGEMENT QUESTIONS]]&amp;Table5[[#This Row],[SELECT ANSWERS]]</f>
        <v>8a)No specific storm is identifiedYes</v>
      </c>
      <c r="E27" s="20"/>
      <c r="F27" s="21"/>
    </row>
    <row r="28" spans="1:7" x14ac:dyDescent="0.35">
      <c r="A28" t="s">
        <v>77</v>
      </c>
      <c r="B28" s="1" t="str">
        <f>VLOOKUP(A28,'3. Answer Assessment Questions'!A$1:D$109,4,FALSE)</f>
        <v>90th percentile storm (often about 1")</v>
      </c>
      <c r="C28" t="s">
        <v>283</v>
      </c>
      <c r="D28" t="str">
        <f>Table5[[#This Row],[Question '#]]&amp;Table5[[#This Row],[STORMWATER MANAGEMENT QUESTIONS]]&amp;Table5[[#This Row],[SELECT ANSWERS]]</f>
        <v>8b)90th percentile storm (often about 1")Yes</v>
      </c>
      <c r="E28" s="20">
        <v>1</v>
      </c>
      <c r="F28" s="21">
        <v>1</v>
      </c>
    </row>
    <row r="29" spans="1:7" x14ac:dyDescent="0.35">
      <c r="A29" t="s">
        <v>79</v>
      </c>
      <c r="B29" s="1" t="str">
        <f>VLOOKUP(A29,'3. Answer Assessment Questions'!A$1:D$109,4,FALSE)</f>
        <v>1-year, 24-hour storm event</v>
      </c>
      <c r="C29" t="s">
        <v>283</v>
      </c>
      <c r="D29" t="str">
        <f>Table5[[#This Row],[Question '#]]&amp;Table5[[#This Row],[STORMWATER MANAGEMENT QUESTIONS]]&amp;Table5[[#This Row],[SELECT ANSWERS]]</f>
        <v>8c)1-year, 24-hour storm eventYes</v>
      </c>
      <c r="E29" s="20">
        <v>2</v>
      </c>
      <c r="F29" s="21">
        <v>2</v>
      </c>
    </row>
    <row r="30" spans="1:7" x14ac:dyDescent="0.35">
      <c r="A30" t="s">
        <v>81</v>
      </c>
      <c r="B30" s="1" t="str">
        <f>VLOOKUP(A30,'3. Answer Assessment Questions'!A$1:D$109,4,FALSE)</f>
        <v>A short duration storm event (e.g., 5-yr, 1-hr)</v>
      </c>
      <c r="C30" t="s">
        <v>283</v>
      </c>
      <c r="D30" t="str">
        <f>Table5[[#This Row],[Question '#]]&amp;Table5[[#This Row],[STORMWATER MANAGEMENT QUESTIONS]]&amp;Table5[[#This Row],[SELECT ANSWERS]]</f>
        <v>8d)A short duration storm event (e.g., 5-yr, 1-hr)Yes</v>
      </c>
      <c r="E30" s="20">
        <v>1</v>
      </c>
      <c r="F30" s="21">
        <v>3</v>
      </c>
    </row>
    <row r="31" spans="1:7" x14ac:dyDescent="0.35">
      <c r="A31" t="s">
        <v>83</v>
      </c>
      <c r="B31" s="1" t="str">
        <f>VLOOKUP(A31,'3. Answer Assessment Questions'!A$1:D$109,4,FALSE)</f>
        <v>Water quality target based on long-term modeling or curves</v>
      </c>
      <c r="C31" t="s">
        <v>283</v>
      </c>
      <c r="D31" t="str">
        <f>Table5[[#This Row],[Question '#]]&amp;Table5[[#This Row],[STORMWATER MANAGEMENT QUESTIONS]]&amp;Table5[[#This Row],[SELECT ANSWERS]]</f>
        <v>8e)Water quality target based on long-term modeling or curvesYes</v>
      </c>
      <c r="E31" s="20">
        <v>2</v>
      </c>
      <c r="F31" s="21">
        <v>2</v>
      </c>
    </row>
    <row r="32" spans="1:7" x14ac:dyDescent="0.35">
      <c r="A32" t="s">
        <v>85</v>
      </c>
      <c r="B32" s="1" t="str">
        <f>VLOOKUP(A32,'3. Answer Assessment Questions'!A$1:D$109,4,FALSE)</f>
        <v>Traditional target pollutant (e.g., 80% total phosphorus removal presumed)</v>
      </c>
      <c r="C32" t="s">
        <v>283</v>
      </c>
      <c r="D32" t="str">
        <f>Table5[[#This Row],[Question '#]]&amp;Table5[[#This Row],[STORMWATER MANAGEMENT QUESTIONS]]&amp;Table5[[#This Row],[SELECT ANSWERS]]</f>
        <v>8f)Traditional target pollutant (e.g., 80% total phosphorus removal presumed)Yes</v>
      </c>
      <c r="E32" s="20">
        <v>1</v>
      </c>
      <c r="F32" s="21"/>
    </row>
    <row r="33" spans="1:20" x14ac:dyDescent="0.35">
      <c r="A33" t="s">
        <v>87</v>
      </c>
      <c r="B33" s="1" t="str">
        <f>VLOOKUP(A33,'3. Answer Assessment Questions'!A$1:D$109,4,FALSE)</f>
        <v>Achieve "woods in good condition" or equivalent hydrology</v>
      </c>
      <c r="C33" t="s">
        <v>283</v>
      </c>
      <c r="D33" t="str">
        <f>Table5[[#This Row],[Question '#]]&amp;Table5[[#This Row],[STORMWATER MANAGEMENT QUESTIONS]]&amp;Table5[[#This Row],[SELECT ANSWERS]]</f>
        <v>8g)Achieve "woods in good condition" or equivalent hydrologyYes</v>
      </c>
      <c r="E33" s="20">
        <v>1</v>
      </c>
      <c r="F33" s="21">
        <v>1</v>
      </c>
    </row>
    <row r="34" spans="1:20" ht="29" x14ac:dyDescent="0.35">
      <c r="A34" t="s">
        <v>89</v>
      </c>
      <c r="B34" s="1" t="str">
        <f>VLOOKUP(A34,'3. Answer Assessment Questions'!A$1:D$109,4,FALSE)</f>
        <v>Does water quality/runoff reduction sizing explicitly account for climate change (e.g., by evaluating a more intense or larger event)?</v>
      </c>
      <c r="C34" t="s">
        <v>283</v>
      </c>
      <c r="D34" t="str">
        <f>Table5[[#This Row],[Question '#]]&amp;Table5[[#This Row],[STORMWATER MANAGEMENT QUESTIONS]]&amp;Table5[[#This Row],[SELECT ANSWERS]]</f>
        <v>9)Does water quality/runoff reduction sizing explicitly account for climate change (e.g., by evaluating a more intense or larger event)?Yes</v>
      </c>
      <c r="F34" s="16">
        <v>1</v>
      </c>
    </row>
    <row r="35" spans="1:20" ht="29" x14ac:dyDescent="0.35">
      <c r="A35" t="s">
        <v>91</v>
      </c>
      <c r="B35" s="1" t="str">
        <f>VLOOKUP(A35,'3. Answer Assessment Questions'!A$1:D$109,4,FALSE)</f>
        <v>Do the standards provide guidance on how to size rainwater harvesting systems?</v>
      </c>
      <c r="C35" t="s">
        <v>283</v>
      </c>
      <c r="D35" t="str">
        <f>Table5[[#This Row],[Question '#]]&amp;Table5[[#This Row],[STORMWATER MANAGEMENT QUESTIONS]]&amp;Table5[[#This Row],[SELECT ANSWERS]]</f>
        <v>10)Do the standards provide guidance on how to size rainwater harvesting systems?Yes</v>
      </c>
      <c r="E35">
        <v>1</v>
      </c>
      <c r="F35">
        <v>1</v>
      </c>
      <c r="G35" s="16">
        <v>1</v>
      </c>
    </row>
    <row r="36" spans="1:20" ht="29" x14ac:dyDescent="0.35">
      <c r="A36" t="s">
        <v>93</v>
      </c>
      <c r="B36" s="1" t="str">
        <f>VLOOKUP(A36,'3. Answer Assessment Questions'!A$1:D$109,4,FALSE)</f>
        <v>Do water quality or runoff reduction sizing design volumes vary based on the following? (Select "Yes" for all that apply)</v>
      </c>
      <c r="D36" t="str">
        <f>Table5[[#This Row],[Question '#]]&amp;Table5[[#This Row],[STORMWATER MANAGEMENT QUESTIONS]]&amp;Table5[[#This Row],[SELECT ANSWERS]]</f>
        <v>11)Do water quality or runoff reduction sizing design volumes vary based on the following? (Select "Yes" for all that apply)</v>
      </c>
    </row>
    <row r="37" spans="1:20" ht="29" x14ac:dyDescent="0.35">
      <c r="A37" t="s">
        <v>95</v>
      </c>
      <c r="B37" s="1" t="str">
        <f>VLOOKUP(A37,'3. Answer Assessment Questions'!A$1:D$109,4,FALSE)</f>
        <v>Water quality of water resources (e.g., phosphorus-restricted basins or cold-water streams)</v>
      </c>
      <c r="C37" t="s">
        <v>283</v>
      </c>
      <c r="D37" t="str">
        <f>Table5[[#This Row],[Question '#]]&amp;Table5[[#This Row],[STORMWATER MANAGEMENT QUESTIONS]]&amp;Table5[[#This Row],[SELECT ANSWERS]]</f>
        <v>11a)Water quality of water resources (e.g., phosphorus-restricted basins or cold-water streams)Yes</v>
      </c>
      <c r="E37" s="20">
        <v>1</v>
      </c>
      <c r="F37" s="21">
        <v>1</v>
      </c>
      <c r="G37" s="22">
        <v>1</v>
      </c>
      <c r="H37" s="20">
        <v>1</v>
      </c>
    </row>
    <row r="38" spans="1:20" x14ac:dyDescent="0.35">
      <c r="A38" t="s">
        <v>97</v>
      </c>
      <c r="B38" s="1" t="str">
        <f>VLOOKUP(A38,'3. Answer Assessment Questions'!A$1:D$109,4,FALSE)</f>
        <v>Intensity or size of development</v>
      </c>
      <c r="C38" t="s">
        <v>283</v>
      </c>
      <c r="D38" t="str">
        <f>Table5[[#This Row],[Question '#]]&amp;Table5[[#This Row],[STORMWATER MANAGEMENT QUESTIONS]]&amp;Table5[[#This Row],[SELECT ANSWERS]]</f>
        <v>11b)Intensity or size of developmentYes</v>
      </c>
      <c r="E38">
        <v>1</v>
      </c>
    </row>
    <row r="39" spans="1:20" x14ac:dyDescent="0.35">
      <c r="A39" t="s">
        <v>99</v>
      </c>
      <c r="B39" s="1" t="str">
        <f>VLOOKUP(A39,'3. Answer Assessment Questions'!A$1:D$109,4,FALSE)</f>
        <v>Coastal vs non-coastal</v>
      </c>
      <c r="C39" t="s">
        <v>283</v>
      </c>
      <c r="D39" t="str">
        <f>Table5[[#This Row],[Question '#]]&amp;Table5[[#This Row],[STORMWATER MANAGEMENT QUESTIONS]]&amp;Table5[[#This Row],[SELECT ANSWERS]]</f>
        <v>11c)Coastal vs non-coastalYes</v>
      </c>
      <c r="E39" s="20">
        <v>1</v>
      </c>
      <c r="F39" s="21"/>
      <c r="G39" s="22"/>
      <c r="H39" s="20"/>
      <c r="I39" s="23">
        <v>1</v>
      </c>
      <c r="J39" s="23"/>
    </row>
    <row r="40" spans="1:20" ht="29" x14ac:dyDescent="0.35">
      <c r="A40" t="s">
        <v>101</v>
      </c>
      <c r="B40" s="1" t="str">
        <f>VLOOKUP(A40,'3. Answer Assessment Questions'!A$1:D$109,4,FALSE)</f>
        <v>Does water quantity (channel or flood protection) sizing vary based on the following? (Select "Yes" for all that apply)</v>
      </c>
      <c r="C40" t="s">
        <v>283</v>
      </c>
      <c r="D40" t="str">
        <f>Table5[[#This Row],[Question '#]]&amp;Table5[[#This Row],[STORMWATER MANAGEMENT QUESTIONS]]&amp;Table5[[#This Row],[SELECT ANSWERS]]</f>
        <v>12)Does water quantity (channel or flood protection) sizing vary based on the following? (Select "Yes" for all that apply)Yes</v>
      </c>
      <c r="O40" t="s">
        <v>283</v>
      </c>
      <c r="P40">
        <v>1</v>
      </c>
      <c r="Q40">
        <v>0</v>
      </c>
      <c r="R40">
        <v>0</v>
      </c>
      <c r="S40">
        <v>0</v>
      </c>
      <c r="T40">
        <v>0</v>
      </c>
    </row>
    <row r="41" spans="1:20" x14ac:dyDescent="0.35">
      <c r="A41" t="s">
        <v>103</v>
      </c>
      <c r="B41" s="1" t="str">
        <f>VLOOKUP(A41,'3. Answer Assessment Questions'!A$1:D$109,4,FALSE)</f>
        <v>Downstream hydrology/history of flooding</v>
      </c>
      <c r="C41" t="s">
        <v>283</v>
      </c>
      <c r="D41" t="str">
        <f>Table5[[#This Row],[Question '#]]&amp;Table5[[#This Row],[STORMWATER MANAGEMENT QUESTIONS]]&amp;Table5[[#This Row],[SELECT ANSWERS]]</f>
        <v>12a)Downstream hydrology/history of floodingYes</v>
      </c>
      <c r="E41" s="20">
        <v>1</v>
      </c>
      <c r="F41" s="21">
        <v>1</v>
      </c>
      <c r="G41" s="22"/>
      <c r="H41" s="20"/>
      <c r="I41" s="23">
        <v>1</v>
      </c>
      <c r="J41" s="23"/>
    </row>
    <row r="42" spans="1:20" x14ac:dyDescent="0.35">
      <c r="A42" t="s">
        <v>105</v>
      </c>
      <c r="B42" s="1" t="str">
        <f>VLOOKUP(A42,'3. Answer Assessment Questions'!A$1:D$109,4,FALSE)</f>
        <v>Downstream channel condition</v>
      </c>
      <c r="C42" t="s">
        <v>283</v>
      </c>
      <c r="D42" t="str">
        <f>Table5[[#This Row],[Question '#]]&amp;Table5[[#This Row],[STORMWATER MANAGEMENT QUESTIONS]]&amp;Table5[[#This Row],[SELECT ANSWERS]]</f>
        <v>12b)Downstream channel conditionYes</v>
      </c>
      <c r="E42" s="20">
        <v>1</v>
      </c>
      <c r="F42" s="21">
        <v>1</v>
      </c>
      <c r="G42" s="22"/>
      <c r="H42" s="20"/>
      <c r="I42" s="23"/>
      <c r="J42" s="23"/>
    </row>
    <row r="43" spans="1:20" ht="29" x14ac:dyDescent="0.35">
      <c r="A43" t="s">
        <v>107</v>
      </c>
      <c r="B43" s="1" t="str">
        <f>VLOOKUP(A43,'3. Answer Assessment Questions'!A$1:D$109,4,FALSE)</f>
        <v>Capacity of infrastructure/conveyances downstream of the development site</v>
      </c>
      <c r="C43" t="s">
        <v>283</v>
      </c>
      <c r="D43" t="str">
        <f>Table5[[#This Row],[Question '#]]&amp;Table5[[#This Row],[STORMWATER MANAGEMENT QUESTIONS]]&amp;Table5[[#This Row],[SELECT ANSWERS]]</f>
        <v>12c)Capacity of infrastructure/conveyances downstream of the development siteYes</v>
      </c>
      <c r="E43" s="1">
        <v>1</v>
      </c>
      <c r="F43">
        <v>1</v>
      </c>
      <c r="I43">
        <v>1</v>
      </c>
    </row>
    <row r="44" spans="1:20" ht="29" x14ac:dyDescent="0.35">
      <c r="A44" t="s">
        <v>110</v>
      </c>
      <c r="B44" s="1" t="str">
        <f>VLOOKUP(A44,'3. Answer Assessment Questions'!A$1:D$109,4,FALSE)</f>
        <v>Do the standards include a list of acceptable practices to meet water quality or runoff reduction criteria?</v>
      </c>
      <c r="C44" t="s">
        <v>283</v>
      </c>
      <c r="D44" t="str">
        <f>Table5[[#This Row],[Question '#]]&amp;Table5[[#This Row],[STORMWATER MANAGEMENT QUESTIONS]]&amp;Table5[[#This Row],[SELECT ANSWERS]]</f>
        <v>13)Do the standards include a list of acceptable practices to meet water quality or runoff reduction criteria?Yes</v>
      </c>
      <c r="E44" s="1">
        <v>1</v>
      </c>
    </row>
    <row r="45" spans="1:20" ht="58" x14ac:dyDescent="0.35">
      <c r="A45" t="s">
        <v>112</v>
      </c>
      <c r="B45" s="1" t="str">
        <f>VLOOKUP(A45,'3. Answer Assessment Questions'!A$1:D$109,4,FALSE)</f>
        <v>Do standards promote or require designers to consider site design features that minimize impervious cover and protect critical natural areas (Low Impact Development, Environmental Site Design or Better Site Design).</v>
      </c>
      <c r="C45" t="s">
        <v>283</v>
      </c>
      <c r="D45" t="str">
        <f>Table5[[#This Row],[Question '#]]&amp;Table5[[#This Row],[STORMWATER MANAGEMENT QUESTIONS]]&amp;Table5[[#This Row],[SELECT ANSWERS]]</f>
        <v>14)Do standards promote or require designers to consider site design features that minimize impervious cover and protect critical natural areas (Low Impact Development, Environmental Site Design or Better Site Design).Yes</v>
      </c>
      <c r="E45" s="16">
        <v>1</v>
      </c>
      <c r="F45" s="16">
        <v>1</v>
      </c>
      <c r="G45" s="16"/>
      <c r="H45" s="16">
        <v>1</v>
      </c>
      <c r="I45" s="19">
        <v>1</v>
      </c>
      <c r="J45" s="19"/>
    </row>
    <row r="46" spans="1:20" ht="29" x14ac:dyDescent="0.35">
      <c r="A46" t="s">
        <v>114</v>
      </c>
      <c r="B46" s="1" t="str">
        <f>VLOOKUP(A46,'3. Answer Assessment Questions'!A$1:D$109,4,FALSE)</f>
        <v xml:space="preserve">Do they explicitly prohibit practices that consume water (i.e. practices with a permanent pool of water or that may rely on irrigation)?  </v>
      </c>
      <c r="C46" t="s">
        <v>283</v>
      </c>
      <c r="D46" t="str">
        <f>Table5[[#This Row],[Question '#]]&amp;Table5[[#This Row],[STORMWATER MANAGEMENT QUESTIONS]]&amp;Table5[[#This Row],[SELECT ANSWERS]]</f>
        <v>15)Do they explicitly prohibit practices that consume water (i.e. practices with a permanent pool of water or that may rely on irrigation)?  Yes</v>
      </c>
      <c r="G46">
        <v>1</v>
      </c>
    </row>
    <row r="47" spans="1:20" ht="43.5" x14ac:dyDescent="0.35">
      <c r="A47" t="s">
        <v>116</v>
      </c>
      <c r="B47" s="1" t="str">
        <f>VLOOKUP(A47,'3. Answer Assessment Questions'!A$1:D$109,4,FALSE)</f>
        <v>Do standards  incorporate any method to encourage the use of Green Infrastructure (GI) practices such as a hierarchy or a runoff reduction target that cannot be met without GI?</v>
      </c>
      <c r="C47" t="s">
        <v>283</v>
      </c>
      <c r="D47" t="str">
        <f>Table5[[#This Row],[Question '#]]&amp;Table5[[#This Row],[STORMWATER MANAGEMENT QUESTIONS]]&amp;Table5[[#This Row],[SELECT ANSWERS]]</f>
        <v>16)Do standards  incorporate any method to encourage the use of Green Infrastructure (GI) practices such as a hierarchy or a runoff reduction target that cannot be met without GI?Yes</v>
      </c>
      <c r="E47" s="16">
        <v>1</v>
      </c>
      <c r="F47" s="16">
        <v>1</v>
      </c>
      <c r="G47" s="16"/>
      <c r="H47" s="16">
        <v>1</v>
      </c>
      <c r="I47" s="19">
        <v>1</v>
      </c>
      <c r="J47" s="19"/>
    </row>
    <row r="48" spans="1:20" ht="43.5" x14ac:dyDescent="0.35">
      <c r="A48" t="s">
        <v>118</v>
      </c>
      <c r="B48" s="1" t="str">
        <f>VLOOKUP(A48,'3. Answer Assessment Questions'!A$1:D$109,4,FALSE)</f>
        <v>Do standards promote natural areas conservation (methods may include explicit vegetation targets, credits applied for natural areas conservation, or identifying specific areas that are off limits)?</v>
      </c>
      <c r="C48" t="s">
        <v>283</v>
      </c>
      <c r="D48" t="str">
        <f>Table5[[#This Row],[Question '#]]&amp;Table5[[#This Row],[STORMWATER MANAGEMENT QUESTIONS]]&amp;Table5[[#This Row],[SELECT ANSWERS]]</f>
        <v>17)Do standards promote natural areas conservation (methods may include explicit vegetation targets, credits applied for natural areas conservation, or identifying specific areas that are off limits)?Yes</v>
      </c>
      <c r="E48" s="7">
        <v>1</v>
      </c>
      <c r="F48" s="7">
        <v>1</v>
      </c>
      <c r="G48" s="7"/>
      <c r="H48" s="7">
        <v>1</v>
      </c>
      <c r="I48" s="7">
        <v>1</v>
      </c>
      <c r="J48" s="7"/>
    </row>
    <row r="49" spans="1:10" ht="29" x14ac:dyDescent="0.35">
      <c r="A49" t="s">
        <v>120</v>
      </c>
      <c r="B49" s="1" t="str">
        <f>VLOOKUP(A49,'3. Answer Assessment Questions'!A$1:D$109,4,FALSE)</f>
        <v>Is there a specific credit such as a reduction in required volume applied for planting or preserving trees?</v>
      </c>
      <c r="C49" t="s">
        <v>283</v>
      </c>
      <c r="D49" t="str">
        <f>Table5[[#This Row],[Question '#]]&amp;Table5[[#This Row],[STORMWATER MANAGEMENT QUESTIONS]]&amp;Table5[[#This Row],[SELECT ANSWERS]]</f>
        <v>18)Is there a specific credit such as a reduction in required volume applied for planting or preserving trees?Yes</v>
      </c>
      <c r="E49" s="16">
        <v>1</v>
      </c>
      <c r="F49" s="16">
        <v>1</v>
      </c>
      <c r="G49" s="16"/>
      <c r="H49" s="16">
        <v>1</v>
      </c>
      <c r="I49" s="19"/>
      <c r="J49" s="19"/>
    </row>
    <row r="50" spans="1:10" ht="29" x14ac:dyDescent="0.35">
      <c r="A50" t="s">
        <v>122</v>
      </c>
      <c r="B50" s="1" t="str">
        <f>VLOOKUP(A50,'3. Answer Assessment Questions'!A$1:D$109,4,FALSE)</f>
        <v>Does practice siting account for the following climate change aspects? (select "Yes" for all that apply)</v>
      </c>
      <c r="D50" t="str">
        <f>Table5[[#This Row],[Question '#]]&amp;Table5[[#This Row],[STORMWATER MANAGEMENT QUESTIONS]]&amp;Table5[[#This Row],[SELECT ANSWERS]]</f>
        <v>19)Does practice siting account for the following climate change aspects? (select "Yes" for all that apply)</v>
      </c>
    </row>
    <row r="51" spans="1:10" x14ac:dyDescent="0.35">
      <c r="A51" t="s">
        <v>124</v>
      </c>
      <c r="B51" s="1" t="str">
        <f>VLOOKUP(A51,'3. Answer Assessment Questions'!A$1:D$109,4,FALSE)</f>
        <v>Rising groundwater</v>
      </c>
      <c r="C51" t="s">
        <v>283</v>
      </c>
      <c r="D51" t="str">
        <f>Table5[[#This Row],[Question '#]]&amp;Table5[[#This Row],[STORMWATER MANAGEMENT QUESTIONS]]&amp;Table5[[#This Row],[SELECT ANSWERS]]</f>
        <v>19a)Rising groundwaterYes</v>
      </c>
      <c r="E51" s="16"/>
      <c r="F51" s="24">
        <v>1</v>
      </c>
      <c r="G51" s="25"/>
      <c r="H51" s="16"/>
      <c r="I51" s="26">
        <v>1</v>
      </c>
      <c r="J51" s="26"/>
    </row>
    <row r="52" spans="1:10" x14ac:dyDescent="0.35">
      <c r="A52" t="s">
        <v>126</v>
      </c>
      <c r="B52" s="1" t="str">
        <f>VLOOKUP(A52,'3. Answer Assessment Questions'!A$1:D$109,4,FALSE)</f>
        <v>Changing floodplains</v>
      </c>
      <c r="C52" t="s">
        <v>283</v>
      </c>
      <c r="D52" t="str">
        <f>Table5[[#This Row],[Question '#]]&amp;Table5[[#This Row],[STORMWATER MANAGEMENT QUESTIONS]]&amp;Table5[[#This Row],[SELECT ANSWERS]]</f>
        <v>19b)Changing floodplainsYes</v>
      </c>
      <c r="E52" s="16"/>
      <c r="F52" s="24">
        <v>1</v>
      </c>
      <c r="G52" s="25"/>
      <c r="H52" s="16"/>
      <c r="I52" s="26">
        <v>1</v>
      </c>
      <c r="J52" s="26"/>
    </row>
    <row r="53" spans="1:10" ht="29" x14ac:dyDescent="0.35">
      <c r="A53" t="s">
        <v>128</v>
      </c>
      <c r="B53" s="1" t="str">
        <f>VLOOKUP(A53,'3. Answer Assessment Questions'!A$1:D$109,4,FALSE)</f>
        <v>Providing additional "right of way" for practices during large or extreme storms</v>
      </c>
      <c r="C53" t="s">
        <v>283</v>
      </c>
      <c r="D53" t="str">
        <f>Table5[[#This Row],[Question '#]]&amp;Table5[[#This Row],[STORMWATER MANAGEMENT QUESTIONS]]&amp;Table5[[#This Row],[SELECT ANSWERS]]</f>
        <v>19c)Providing additional "right of way" for practices during large or extreme stormsYes</v>
      </c>
      <c r="E53" s="16"/>
      <c r="F53" s="24">
        <v>1</v>
      </c>
      <c r="G53" s="25"/>
      <c r="H53" s="16"/>
      <c r="I53" s="26">
        <v>1</v>
      </c>
      <c r="J53" s="26"/>
    </row>
    <row r="54" spans="1:10" x14ac:dyDescent="0.35">
      <c r="A54" t="s">
        <v>130</v>
      </c>
      <c r="B54" s="1" t="str">
        <f>VLOOKUP(A54,'3. Answer Assessment Questions'!A$1:D$109,4,FALSE)</f>
        <v>Sea level rise</v>
      </c>
      <c r="C54" t="s">
        <v>283</v>
      </c>
      <c r="D54" t="str">
        <f>Table5[[#This Row],[Question '#]]&amp;Table5[[#This Row],[STORMWATER MANAGEMENT QUESTIONS]]&amp;Table5[[#This Row],[SELECT ANSWERS]]</f>
        <v>19d)Sea level riseYes</v>
      </c>
      <c r="E54" s="16"/>
      <c r="F54" s="24"/>
      <c r="G54" s="25"/>
      <c r="H54" s="16"/>
      <c r="I54" s="26">
        <v>1</v>
      </c>
      <c r="J54" s="26"/>
    </row>
    <row r="55" spans="1:10" x14ac:dyDescent="0.35">
      <c r="A55" t="s">
        <v>132</v>
      </c>
      <c r="B55" s="1" t="str">
        <f>VLOOKUP(A55,'3. Answer Assessment Questions'!A$1:D$109,4,FALSE)</f>
        <v>Salt water intrusion</v>
      </c>
      <c r="C55" t="s">
        <v>283</v>
      </c>
      <c r="D55" t="str">
        <f>Table5[[#This Row],[Question '#]]&amp;Table5[[#This Row],[STORMWATER MANAGEMENT QUESTIONS]]&amp;Table5[[#This Row],[SELECT ANSWERS]]</f>
        <v>19e)Salt water intrusionYes</v>
      </c>
      <c r="E55" s="16"/>
      <c r="F55" s="24"/>
      <c r="G55" s="25"/>
      <c r="H55" s="16"/>
      <c r="I55" s="26">
        <v>1</v>
      </c>
      <c r="J55" s="26"/>
    </row>
    <row r="56" spans="1:10" ht="29" x14ac:dyDescent="0.35">
      <c r="A56" t="s">
        <v>135</v>
      </c>
      <c r="B56" s="1" t="str">
        <f>VLOOKUP(A56,'3. Answer Assessment Questions'!A$1:D$109,4,FALSE)</f>
        <v>What storm is used to define how the water quality or retention storm is conveyed to practices?</v>
      </c>
      <c r="C56" s="15" t="s">
        <v>291</v>
      </c>
      <c r="D56" t="str">
        <f>Table5[[#This Row],[Question '#]]&amp;Table5[[#This Row],[STORMWATER MANAGEMENT QUESTIONS]]&amp;Table5[[#This Row],[SELECT ANSWERS]]</f>
        <v>20)What storm is used to define how the water quality or retention storm is conveyed to practices?Intensity based on a 24-hour event</v>
      </c>
      <c r="E56" s="20">
        <v>1</v>
      </c>
      <c r="F56" s="21">
        <v>1</v>
      </c>
      <c r="G56" s="22"/>
      <c r="H56" s="20"/>
      <c r="I56" s="23"/>
      <c r="J56" s="23"/>
    </row>
    <row r="57" spans="1:10" ht="29" x14ac:dyDescent="0.35">
      <c r="A57" t="s">
        <v>135</v>
      </c>
      <c r="B57" s="1" t="str">
        <f>VLOOKUP(A57,'3. Answer Assessment Questions'!A$1:D$109,4,FALSE)</f>
        <v>What storm is used to define how the water quality or retention storm is conveyed to practices?</v>
      </c>
      <c r="C57" s="15" t="s">
        <v>292</v>
      </c>
      <c r="D57" t="str">
        <f>Table5[[#This Row],[Question '#]]&amp;Table5[[#This Row],[STORMWATER MANAGEMENT QUESTIONS]]&amp;Table5[[#This Row],[SELECT ANSWERS]]</f>
        <v>20)What storm is used to define how the water quality or retention storm is conveyed to practices?Intensity is based on a shorter duration (e.g., 1-hour) event</v>
      </c>
      <c r="E57" s="20">
        <v>1</v>
      </c>
      <c r="F57" s="21">
        <v>2</v>
      </c>
      <c r="G57" s="22"/>
      <c r="H57" s="20"/>
      <c r="I57" s="23"/>
      <c r="J57" s="23"/>
    </row>
    <row r="58" spans="1:10" ht="29" x14ac:dyDescent="0.35">
      <c r="A58" t="s">
        <v>135</v>
      </c>
      <c r="B58" s="1" t="str">
        <f>VLOOKUP(A58,'3. Answer Assessment Questions'!A$1:D$109,4,FALSE)</f>
        <v>What storm is used to define how the water quality or retention storm is conveyed to practices?</v>
      </c>
      <c r="C58" s="15" t="s">
        <v>293</v>
      </c>
      <c r="D58" t="str">
        <f>Table5[[#This Row],[Question '#]]&amp;Table5[[#This Row],[STORMWATER MANAGEMENT QUESTIONS]]&amp;Table5[[#This Row],[SELECT ANSWERS]]</f>
        <v>20)What storm is used to define how the water quality or retention storm is conveyed to practices?Intensity is based on historic storms that have created design issues and use this distribution</v>
      </c>
      <c r="E58" s="20">
        <v>1</v>
      </c>
      <c r="F58" s="21">
        <v>2</v>
      </c>
      <c r="G58" s="22"/>
      <c r="H58" s="20"/>
      <c r="I58" s="23">
        <v>1</v>
      </c>
      <c r="J58" s="23"/>
    </row>
    <row r="59" spans="1:10" ht="29" x14ac:dyDescent="0.35">
      <c r="A59" t="s">
        <v>135</v>
      </c>
      <c r="B59" s="1" t="str">
        <f>VLOOKUP(A59,'3. Answer Assessment Questions'!A$1:D$109,4,FALSE)</f>
        <v>What storm is used to define how the water quality or retention storm is conveyed to practices?</v>
      </c>
      <c r="C59" t="s">
        <v>294</v>
      </c>
      <c r="D59" t="str">
        <f>Table5[[#This Row],[Question '#]]&amp;Table5[[#This Row],[STORMWATER MANAGEMENT QUESTIONS]]&amp;Table5[[#This Row],[SELECT ANSWERS]]</f>
        <v>20)What storm is used to define how the water quality or retention storm is conveyed to practices?Not Mentioned</v>
      </c>
      <c r="E59" s="1"/>
      <c r="F59" s="8"/>
      <c r="G59" s="9"/>
      <c r="H59" s="1"/>
      <c r="I59" s="27"/>
      <c r="J59" s="27"/>
    </row>
    <row r="60" spans="1:10" ht="43.5" x14ac:dyDescent="0.35">
      <c r="A60" t="s">
        <v>137</v>
      </c>
      <c r="B60" s="1" t="str">
        <f>VLOOKUP(A60,'3. Answer Assessment Questions'!A$1:D$109,4,FALSE)</f>
        <v>What method of conservative conveyance is incoporated to accommodate climate change?</v>
      </c>
      <c r="C60" s="28" t="s">
        <v>295</v>
      </c>
      <c r="D60" t="str">
        <f>Table5[[#This Row],[Question '#]]&amp;Table5[[#This Row],[STORMWATER MANAGEMENT QUESTIONS]]&amp;Table5[[#This Row],[SELECT ANSWERS]]</f>
        <v>21)What method of conservative conveyance is incoporated to accommodate climate change?Increase the intensity (e.g., increase by 25%) beyond the amount predicted by a "standard" design storm.</v>
      </c>
      <c r="F60">
        <v>1</v>
      </c>
    </row>
    <row r="61" spans="1:10" ht="29" x14ac:dyDescent="0.35">
      <c r="A61" t="s">
        <v>137</v>
      </c>
      <c r="B61" s="1" t="str">
        <f>VLOOKUP(A61,'3. Answer Assessment Questions'!A$1:D$109,4,FALSE)</f>
        <v>What method of conservative conveyance is incoporated to accommodate climate change?</v>
      </c>
      <c r="C61" s="28" t="s">
        <v>296</v>
      </c>
      <c r="D61" t="str">
        <f>Table5[[#This Row],[Question '#]]&amp;Table5[[#This Row],[STORMWATER MANAGEMENT QUESTIONS]]&amp;Table5[[#This Row],[SELECT ANSWERS]]</f>
        <v>21)What method of conservative conveyance is incoporated to accommodate climate change?Use a larger storm (e.g., use a 1.5" instead of 1")</v>
      </c>
      <c r="F61">
        <v>1</v>
      </c>
    </row>
    <row r="62" spans="1:10" ht="29" x14ac:dyDescent="0.35">
      <c r="A62" t="s">
        <v>137</v>
      </c>
      <c r="B62" s="1" t="str">
        <f>VLOOKUP(A62,'3. Answer Assessment Questions'!A$1:D$109,4,FALSE)</f>
        <v>What method of conservative conveyance is incoporated to accommodate climate change?</v>
      </c>
      <c r="C62" s="28" t="s">
        <v>297</v>
      </c>
      <c r="D62" t="str">
        <f>Table5[[#This Row],[Question '#]]&amp;Table5[[#This Row],[STORMWATER MANAGEMENT QUESTIONS]]&amp;Table5[[#This Row],[SELECT ANSWERS]]</f>
        <v>21)What method of conservative conveyance is incoporated to accommodate climate change?Incorporate revised IDF curves based on climate models</v>
      </c>
      <c r="F62">
        <v>1</v>
      </c>
    </row>
    <row r="63" spans="1:10" ht="72.5" x14ac:dyDescent="0.35">
      <c r="A63" t="s">
        <v>137</v>
      </c>
      <c r="B63" s="1" t="str">
        <f>VLOOKUP(A63,'3. Answer Assessment Questions'!A$1:D$109,4,FALSE)</f>
        <v>What method of conservative conveyance is incoporated to accommodate climate change?</v>
      </c>
      <c r="C63" s="1" t="s">
        <v>298</v>
      </c>
      <c r="D63" t="str">
        <f>Table5[[#This Row],[Question '#]]&amp;Table5[[#This Row],[STORMWATER MANAGEMENT QUESTIONS]]&amp;Table5[[#This Row],[SELECT ANSWERS]]</f>
        <v>21)What method of conservative conveyance is incoporated to accommodate climate change?Provide supplemental freeboard or temporary storage in flow diversion structures to ensure that flashy storms do not bypass treatment practices</v>
      </c>
      <c r="F63">
        <v>1</v>
      </c>
    </row>
    <row r="64" spans="1:10" ht="29" x14ac:dyDescent="0.35">
      <c r="A64" t="s">
        <v>137</v>
      </c>
      <c r="B64" s="1" t="str">
        <f>VLOOKUP(A64,'3. Answer Assessment Questions'!A$1:D$109,4,FALSE)</f>
        <v>What method of conservative conveyance is incoporated to accommodate climate change?</v>
      </c>
      <c r="C64" s="1" t="s">
        <v>299</v>
      </c>
      <c r="D64" t="str">
        <f>Table5[[#This Row],[Question '#]]&amp;Table5[[#This Row],[STORMWATER MANAGEMENT QUESTIONS]]&amp;Table5[[#This Row],[SELECT ANSWERS]]</f>
        <v>21)What method of conservative conveyance is incoporated to accommodate climate change?None</v>
      </c>
    </row>
    <row r="65" spans="1:9" ht="29" x14ac:dyDescent="0.35">
      <c r="A65" t="s">
        <v>139</v>
      </c>
      <c r="B65" s="1" t="str">
        <f>VLOOKUP(A65,'3. Answer Assessment Questions'!A$1:D$109,4,FALSE)</f>
        <v>Does inlet design incorporate design features that limit erosion from high intensity events? (select "Yes" for all that apply)</v>
      </c>
      <c r="D65" t="str">
        <f>Table5[[#This Row],[Question '#]]&amp;Table5[[#This Row],[STORMWATER MANAGEMENT QUESTIONS]]&amp;Table5[[#This Row],[SELECT ANSWERS]]</f>
        <v>22)Does inlet design incorporate design features that limit erosion from high intensity events? (select "Yes" for all that apply)</v>
      </c>
    </row>
    <row r="66" spans="1:9" x14ac:dyDescent="0.35">
      <c r="A66" t="s">
        <v>141</v>
      </c>
      <c r="B66" s="1" t="str">
        <f>VLOOKUP(A66,'3. Answer Assessment Questions'!A$1:D$109,4,FALSE)</f>
        <v>Detention storage provided at the practice inlet to reduce peak discharge</v>
      </c>
      <c r="C66" t="s">
        <v>283</v>
      </c>
      <c r="D66" t="str">
        <f>Table5[[#This Row],[Question '#]]&amp;Table5[[#This Row],[STORMWATER MANAGEMENT QUESTIONS]]&amp;Table5[[#This Row],[SELECT ANSWERS]]</f>
        <v>22a)Detention storage provided at the practice inlet to reduce peak dischargeYes</v>
      </c>
      <c r="E66">
        <v>1</v>
      </c>
      <c r="F66">
        <v>1</v>
      </c>
    </row>
    <row r="67" spans="1:9" x14ac:dyDescent="0.35">
      <c r="A67" t="s">
        <v>143</v>
      </c>
      <c r="B67" s="1" t="str">
        <f>VLOOKUP(A67,'3. Answer Assessment Questions'!A$1:D$109,4,FALSE)</f>
        <v>Practices designed off-line by using flow-diversion practices</v>
      </c>
      <c r="C67" t="s">
        <v>283</v>
      </c>
      <c r="D67" t="str">
        <f>Table5[[#This Row],[Question '#]]&amp;Table5[[#This Row],[STORMWATER MANAGEMENT QUESTIONS]]&amp;Table5[[#This Row],[SELECT ANSWERS]]</f>
        <v>22b)Practices designed off-line by using flow-diversion practicesYes</v>
      </c>
      <c r="E67">
        <v>1</v>
      </c>
      <c r="F67">
        <v>1</v>
      </c>
    </row>
    <row r="68" spans="1:9" x14ac:dyDescent="0.35">
      <c r="A68" t="s">
        <v>145</v>
      </c>
      <c r="B68" s="1" t="str">
        <f>VLOOKUP(A68,'3. Answer Assessment Questions'!A$1:D$109,4,FALSE)</f>
        <v>Prescribe non-erosive conveyance of a specific design storm</v>
      </c>
      <c r="C68" t="s">
        <v>283</v>
      </c>
      <c r="D68" t="str">
        <f>Table5[[#This Row],[Question '#]]&amp;Table5[[#This Row],[STORMWATER MANAGEMENT QUESTIONS]]&amp;Table5[[#This Row],[SELECT ANSWERS]]</f>
        <v>22c)Prescribe non-erosive conveyance of a specific design stormYes</v>
      </c>
      <c r="E68">
        <v>1</v>
      </c>
      <c r="F68">
        <v>1</v>
      </c>
    </row>
    <row r="69" spans="1:9" ht="29" x14ac:dyDescent="0.35">
      <c r="A69" t="s">
        <v>147</v>
      </c>
      <c r="B69" s="1" t="str">
        <f>VLOOKUP(A69,'3. Answer Assessment Questions'!A$1:D$109,4,FALSE)</f>
        <v>Design ensures that the inlet and practice has the capacity to convey intense storm events</v>
      </c>
      <c r="C69" t="s">
        <v>283</v>
      </c>
      <c r="D69" t="str">
        <f>Table5[[#This Row],[Question '#]]&amp;Table5[[#This Row],[STORMWATER MANAGEMENT QUESTIONS]]&amp;Table5[[#This Row],[SELECT ANSWERS]]</f>
        <v>22d)Design ensures that the inlet and practice has the capacity to convey intense storm eventsYes</v>
      </c>
      <c r="E69">
        <v>1</v>
      </c>
      <c r="F69">
        <v>1</v>
      </c>
      <c r="I69">
        <v>1</v>
      </c>
    </row>
    <row r="70" spans="1:9" x14ac:dyDescent="0.35">
      <c r="A70" t="s">
        <v>149</v>
      </c>
      <c r="B70" s="1" t="str">
        <f>VLOOKUP(A70,'3. Answer Assessment Questions'!A$1:D$109,4,FALSE)</f>
        <v xml:space="preserve">Do the standards require pretreatment? </v>
      </c>
      <c r="C70" t="s">
        <v>283</v>
      </c>
      <c r="D70" t="str">
        <f>Table5[[#This Row],[Question '#]]&amp;Table5[[#This Row],[STORMWATER MANAGEMENT QUESTIONS]]&amp;Table5[[#This Row],[SELECT ANSWERS]]</f>
        <v>23)Do the standards require pretreatment? Yes</v>
      </c>
      <c r="E70">
        <v>1</v>
      </c>
      <c r="F70">
        <v>1</v>
      </c>
      <c r="G70">
        <v>1</v>
      </c>
    </row>
    <row r="71" spans="1:9" ht="29" x14ac:dyDescent="0.35">
      <c r="A71" t="s">
        <v>151</v>
      </c>
      <c r="B71" s="1" t="str">
        <f>VLOOKUP(A71,'3. Answer Assessment Questions'!A$1:D$109,4,FALSE)</f>
        <v>If flow-based systems are allowed for pretreatment, how has their design been modified to accommodate increased storm intensity?</v>
      </c>
      <c r="C71" s="15" t="s">
        <v>300</v>
      </c>
      <c r="D71" t="str">
        <f>Table5[[#This Row],[Question '#]]&amp;Table5[[#This Row],[STORMWATER MANAGEMENT QUESTIONS]]&amp;Table5[[#This Row],[SELECT ANSWERS]]</f>
        <v>24)If flow-based systems are allowed for pretreatment, how has their design been modified to accommodate increased storm intensity?Increase the intensity by a factor of safety (e.g., 25%) beyond that predicted by a "standard" design storm.</v>
      </c>
      <c r="F71">
        <v>1</v>
      </c>
    </row>
    <row r="72" spans="1:9" ht="29" x14ac:dyDescent="0.35">
      <c r="A72" t="s">
        <v>151</v>
      </c>
      <c r="B72" s="1" t="str">
        <f>VLOOKUP(A72,'3. Answer Assessment Questions'!A$1:D$109,4,FALSE)</f>
        <v>If flow-based systems are allowed for pretreatment, how has their design been modified to accommodate increased storm intensity?</v>
      </c>
      <c r="C72" s="15" t="s">
        <v>297</v>
      </c>
      <c r="D72" t="str">
        <f>Table5[[#This Row],[Question '#]]&amp;Table5[[#This Row],[STORMWATER MANAGEMENT QUESTIONS]]&amp;Table5[[#This Row],[SELECT ANSWERS]]</f>
        <v>24)If flow-based systems are allowed for pretreatment, how has their design been modified to accommodate increased storm intensity?Incorporate revised IDF curves based on climate models</v>
      </c>
      <c r="F72">
        <v>1</v>
      </c>
    </row>
    <row r="73" spans="1:9" ht="29" x14ac:dyDescent="0.35">
      <c r="A73" t="s">
        <v>151</v>
      </c>
      <c r="B73" s="1" t="str">
        <f>VLOOKUP(A73,'3. Answer Assessment Questions'!A$1:D$109,4,FALSE)</f>
        <v>If flow-based systems are allowed for pretreatment, how has their design been modified to accommodate increased storm intensity?</v>
      </c>
      <c r="C73" s="15" t="s">
        <v>299</v>
      </c>
      <c r="D73" t="str">
        <f>Table5[[#This Row],[Question '#]]&amp;Table5[[#This Row],[STORMWATER MANAGEMENT QUESTIONS]]&amp;Table5[[#This Row],[SELECT ANSWERS]]</f>
        <v>24)If flow-based systems are allowed for pretreatment, how has their design been modified to accommodate increased storm intensity?None</v>
      </c>
    </row>
    <row r="74" spans="1:9" ht="43.5" x14ac:dyDescent="0.35">
      <c r="A74" t="s">
        <v>153</v>
      </c>
      <c r="B74" s="1" t="str">
        <f>VLOOKUP(A74,'3. Answer Assessment Questions'!A$1:D$109,4,FALSE)</f>
        <v>Do the the standards incorporate any of the following conveyance measures to accommodate rising sea levels? (select "Yes" for all that apply)</v>
      </c>
      <c r="D74" t="str">
        <f>Table5[[#This Row],[Question '#]]&amp;Table5[[#This Row],[STORMWATER MANAGEMENT QUESTIONS]]&amp;Table5[[#This Row],[SELECT ANSWERS]]</f>
        <v>25)Do the the standards incorporate any of the following conveyance measures to accommodate rising sea levels? (select "Yes" for all that apply)</v>
      </c>
    </row>
    <row r="75" spans="1:9" x14ac:dyDescent="0.35">
      <c r="A75" t="s">
        <v>155</v>
      </c>
      <c r="B75" s="1" t="str">
        <f>VLOOKUP(A75,'3. Answer Assessment Questions'!A$1:D$109,4,FALSE)</f>
        <v>Elevating outfall inverts to projected high tide</v>
      </c>
      <c r="C75" t="s">
        <v>283</v>
      </c>
      <c r="D75" t="str">
        <f>Table5[[#This Row],[Question '#]]&amp;Table5[[#This Row],[STORMWATER MANAGEMENT QUESTIONS]]&amp;Table5[[#This Row],[SELECT ANSWERS]]</f>
        <v>25a)Elevating outfall inverts to projected high tideYes</v>
      </c>
      <c r="I75">
        <v>1</v>
      </c>
    </row>
    <row r="76" spans="1:9" x14ac:dyDescent="0.35">
      <c r="A76" t="s">
        <v>157</v>
      </c>
      <c r="B76" s="1" t="str">
        <f>VLOOKUP(A76,'3. Answer Assessment Questions'!A$1:D$109,4,FALSE)</f>
        <v>Check valves to prevent backups in outlet pipes</v>
      </c>
      <c r="C76" t="s">
        <v>283</v>
      </c>
      <c r="D76" t="str">
        <f>Table5[[#This Row],[Question '#]]&amp;Table5[[#This Row],[STORMWATER MANAGEMENT QUESTIONS]]&amp;Table5[[#This Row],[SELECT ANSWERS]]</f>
        <v>25b)Check valves to prevent backups in outlet pipesYes</v>
      </c>
      <c r="I76">
        <v>1</v>
      </c>
    </row>
    <row r="77" spans="1:9" ht="43.5" x14ac:dyDescent="0.35">
      <c r="A77" t="s">
        <v>159</v>
      </c>
      <c r="B77" s="1" t="str">
        <f>VLOOKUP(A77,'3. Answer Assessment Questions'!A$1:D$109,4,FALSE)</f>
        <v>Incorporation of features that allow for future practice modification (e.g., elbow joint in bioretention outlets to allow future elevation of the outlet invert)</v>
      </c>
      <c r="C77" t="s">
        <v>283</v>
      </c>
      <c r="D77" t="str">
        <f>Table5[[#This Row],[Question '#]]&amp;Table5[[#This Row],[STORMWATER MANAGEMENT QUESTIONS]]&amp;Table5[[#This Row],[SELECT ANSWERS]]</f>
        <v>25c)Incorporation of features that allow for future practice modification (e.g., elbow joint in bioretention outlets to allow future elevation of the outlet invert)Yes</v>
      </c>
      <c r="I77">
        <v>1</v>
      </c>
    </row>
    <row r="78" spans="1:9" ht="29" x14ac:dyDescent="0.35">
      <c r="A78" t="s">
        <v>161</v>
      </c>
      <c r="B78" s="1" t="str">
        <f>VLOOKUP(A78,'3. Answer Assessment Questions'!A$1:D$109,4,FALSE)</f>
        <v>Oversizing pipes or open channels to account for lost storage from rising sea levels</v>
      </c>
      <c r="C78" t="s">
        <v>283</v>
      </c>
      <c r="D78" t="str">
        <f>Table5[[#This Row],[Question '#]]&amp;Table5[[#This Row],[STORMWATER MANAGEMENT QUESTIONS]]&amp;Table5[[#This Row],[SELECT ANSWERS]]</f>
        <v>25d)Oversizing pipes or open channels to account for lost storage from rising sea levelsYes</v>
      </c>
      <c r="I78">
        <v>1</v>
      </c>
    </row>
    <row r="79" spans="1:9" ht="53.9" customHeight="1" x14ac:dyDescent="0.35">
      <c r="A79" t="s">
        <v>163</v>
      </c>
      <c r="B79" s="1" t="str">
        <f>VLOOKUP(A79,'3. Answer Assessment Questions'!A$1:D$109,4,FALSE)</f>
        <v>Incorporating pumps or other features that provide increased head during high coastal levels</v>
      </c>
      <c r="C79" t="s">
        <v>283</v>
      </c>
      <c r="D79" t="str">
        <f>Table5[[#This Row],[Question '#]]&amp;Table5[[#This Row],[STORMWATER MANAGEMENT QUESTIONS]]&amp;Table5[[#This Row],[SELECT ANSWERS]]</f>
        <v>25e)Incorporating pumps or other features that provide increased head during high coastal levelsYes</v>
      </c>
      <c r="I79">
        <v>1</v>
      </c>
    </row>
    <row r="80" spans="1:9" ht="29" x14ac:dyDescent="0.35">
      <c r="A80" t="s">
        <v>165</v>
      </c>
      <c r="B80" s="1" t="str">
        <f>VLOOKUP(A80,'3. Answer Assessment Questions'!A$1:D$109,4,FALSE)</f>
        <v>Is internal water storage (e.g. the "upturned elbow") design incorporated into bioretention design standards?</v>
      </c>
      <c r="C80" t="s">
        <v>283</v>
      </c>
      <c r="D80" t="str">
        <f>Table5[[#This Row],[Question '#]]&amp;Table5[[#This Row],[STORMWATER MANAGEMENT QUESTIONS]]&amp;Table5[[#This Row],[SELECT ANSWERS]]</f>
        <v>26)Is internal water storage (e.g. the "upturned elbow") design incorporated into bioretention design standards?Yes</v>
      </c>
      <c r="E80">
        <v>1</v>
      </c>
      <c r="G80">
        <v>1</v>
      </c>
      <c r="I80">
        <v>1</v>
      </c>
    </row>
    <row r="81" spans="1:9" ht="29" x14ac:dyDescent="0.35">
      <c r="A81" t="s">
        <v>168</v>
      </c>
      <c r="B81" s="1" t="str">
        <f>VLOOKUP(A81,'3. Answer Assessment Questions'!A$1:D$109,4,FALSE)</f>
        <v>For bioretention pratices, what fraction of the treatment or retention volume needs to be captured in ponding above the filter bed?</v>
      </c>
      <c r="C81" t="s">
        <v>301</v>
      </c>
      <c r="D81" t="str">
        <f>Table5[[#This Row],[Question '#]]&amp;Table5[[#This Row],[STORMWATER MANAGEMENT QUESTIONS]]&amp;Table5[[#This Row],[SELECT ANSWERS]]</f>
        <v>27)For bioretention pratices, what fraction of the treatment or retention volume needs to be captured in ponding above the filter bed?a) Not specified</v>
      </c>
    </row>
    <row r="82" spans="1:9" ht="29" x14ac:dyDescent="0.35">
      <c r="A82" t="s">
        <v>168</v>
      </c>
      <c r="B82" s="1" t="str">
        <f>VLOOKUP(A82,'3. Answer Assessment Questions'!A$1:D$109,4,FALSE)</f>
        <v>For bioretention pratices, what fraction of the treatment or retention volume needs to be captured in ponding above the filter bed?</v>
      </c>
      <c r="C82" t="s">
        <v>302</v>
      </c>
      <c r="D82" t="str">
        <f>Table5[[#This Row],[Question '#]]&amp;Table5[[#This Row],[STORMWATER MANAGEMENT QUESTIONS]]&amp;Table5[[#This Row],[SELECT ANSWERS]]</f>
        <v>27)For bioretention pratices, what fraction of the treatment or retention volume needs to be captured in ponding above the filter bed?b) &lt;50%</v>
      </c>
      <c r="E82">
        <v>1</v>
      </c>
    </row>
    <row r="83" spans="1:9" ht="29" x14ac:dyDescent="0.35">
      <c r="A83" t="s">
        <v>168</v>
      </c>
      <c r="B83" s="1" t="str">
        <f>VLOOKUP(A83,'3. Answer Assessment Questions'!A$1:D$109,4,FALSE)</f>
        <v>For bioretention pratices, what fraction of the treatment or retention volume needs to be captured in ponding above the filter bed?</v>
      </c>
      <c r="C83" t="s">
        <v>303</v>
      </c>
      <c r="D83" t="str">
        <f>Table5[[#This Row],[Question '#]]&amp;Table5[[#This Row],[STORMWATER MANAGEMENT QUESTIONS]]&amp;Table5[[#This Row],[SELECT ANSWERS]]</f>
        <v>27)For bioretention pratices, what fraction of the treatment or retention volume needs to be captured in ponding above the filter bed?c) 50-75%</v>
      </c>
      <c r="E83">
        <v>1</v>
      </c>
      <c r="F83">
        <v>1</v>
      </c>
    </row>
    <row r="84" spans="1:9" ht="29" x14ac:dyDescent="0.35">
      <c r="A84" t="s">
        <v>168</v>
      </c>
      <c r="B84" s="1" t="str">
        <f>VLOOKUP(A84,'3. Answer Assessment Questions'!A$1:D$109,4,FALSE)</f>
        <v>For bioretention pratices, what fraction of the treatment or retention volume needs to be captured in ponding above the filter bed?</v>
      </c>
      <c r="C84" t="s">
        <v>304</v>
      </c>
      <c r="D84" t="str">
        <f>Table5[[#This Row],[Question '#]]&amp;Table5[[#This Row],[STORMWATER MANAGEMENT QUESTIONS]]&amp;Table5[[#This Row],[SELECT ANSWERS]]</f>
        <v>27)For bioretention pratices, what fraction of the treatment or retention volume needs to be captured in ponding above the filter bed?d) &gt;75%</v>
      </c>
      <c r="E84">
        <v>1</v>
      </c>
      <c r="F84">
        <v>2</v>
      </c>
    </row>
    <row r="85" spans="1:9" ht="43.5" x14ac:dyDescent="0.35">
      <c r="A85" t="s">
        <v>170</v>
      </c>
      <c r="B85" s="1" t="str">
        <f>VLOOKUP(A85,'3. Answer Assessment Questions'!A$1:D$109,4,FALSE)</f>
        <v>How are “Smart BMP” technologies (i.e. technologies that include sensors and real-time adaptation based on observed flows and storm forecasts) incorporated or encouraged?</v>
      </c>
      <c r="C85" t="s">
        <v>305</v>
      </c>
      <c r="D85" t="str">
        <f>Table5[[#This Row],[Question '#]]&amp;Table5[[#This Row],[STORMWATER MANAGEMENT QUESTIONS]]&amp;Table5[[#This Row],[SELECT ANSWERS]]</f>
        <v>28)How are “Smart BMP” technologies (i.e. technologies that include sensors and real-time adaptation based on observed flows and storm forecasts) incorporated or encouraged?a) Not mentioned or disallowed</v>
      </c>
    </row>
    <row r="86" spans="1:9" ht="43.5" x14ac:dyDescent="0.35">
      <c r="A86" t="s">
        <v>170</v>
      </c>
      <c r="B86" s="1" t="str">
        <f>VLOOKUP(A86,'3. Answer Assessment Questions'!A$1:D$109,4,FALSE)</f>
        <v>How are “Smart BMP” technologies (i.e. technologies that include sensors and real-time adaptation based on observed flows and storm forecasts) incorporated or encouraged?</v>
      </c>
      <c r="C86" t="s">
        <v>306</v>
      </c>
      <c r="D86" t="str">
        <f>Table5[[#This Row],[Question '#]]&amp;Table5[[#This Row],[STORMWATER MANAGEMENT QUESTIONS]]&amp;Table5[[#This Row],[SELECT ANSWERS]]</f>
        <v>28)How are “Smart BMP” technologies (i.e. technologies that include sensors and real-time adaptation based on observed flows and storm forecasts) incorporated or encouraged?b) Mentioned</v>
      </c>
      <c r="E86">
        <v>1</v>
      </c>
      <c r="F86">
        <v>1</v>
      </c>
      <c r="G86">
        <v>1</v>
      </c>
    </row>
    <row r="87" spans="1:9" ht="43.5" x14ac:dyDescent="0.35">
      <c r="A87" t="s">
        <v>170</v>
      </c>
      <c r="B87" s="1" t="str">
        <f>VLOOKUP(A87,'3. Answer Assessment Questions'!A$1:D$109,4,FALSE)</f>
        <v>How are “Smart BMP” technologies (i.e. technologies that include sensors and real-time adaptation based on observed flows and storm forecasts) incorporated or encouraged?</v>
      </c>
      <c r="C87" t="s">
        <v>307</v>
      </c>
      <c r="D87" t="str">
        <f>Table5[[#This Row],[Question '#]]&amp;Table5[[#This Row],[STORMWATER MANAGEMENT QUESTIONS]]&amp;Table5[[#This Row],[SELECT ANSWERS]]</f>
        <v>28)How are “Smart BMP” technologies (i.e. technologies that include sensors and real-time adaptation based on observed flows and storm forecasts) incorporated or encouraged?c) Guidance is provided on how or when to use smart technology</v>
      </c>
      <c r="E87">
        <v>2</v>
      </c>
      <c r="F87">
        <v>2</v>
      </c>
      <c r="G87">
        <v>2</v>
      </c>
    </row>
    <row r="88" spans="1:9" ht="43.5" x14ac:dyDescent="0.35">
      <c r="A88" t="s">
        <v>172</v>
      </c>
      <c r="B88" s="1" t="str">
        <f>VLOOKUP(A88,'3. Answer Assessment Questions'!A$1:D$109,4,FALSE)</f>
        <v>Do designs for any practices require or incorporate a “reserve area” to accommodate future conversion (i.e., from infiltration or bioretention practice basin to a wet pond) due to sea level rise?</v>
      </c>
      <c r="C88" t="s">
        <v>283</v>
      </c>
      <c r="D88" t="str">
        <f>Table5[[#This Row],[Question '#]]&amp;Table5[[#This Row],[STORMWATER MANAGEMENT QUESTIONS]]&amp;Table5[[#This Row],[SELECT ANSWERS]]</f>
        <v>29)Do designs for any practices require or incorporate a “reserve area” to accommodate future conversion (i.e., from infiltration or bioretention practice basin to a wet pond) due to sea level rise?Yes</v>
      </c>
      <c r="I88">
        <v>1</v>
      </c>
    </row>
    <row r="89" spans="1:9" x14ac:dyDescent="0.35">
      <c r="A89" t="s">
        <v>174</v>
      </c>
      <c r="B89" s="1" t="str">
        <f>VLOOKUP(A89,'3. Answer Assessment Questions'!A$1:D$109,4,FALSE)</f>
        <v>Do any ultra-urban practices incorporate sub-surface flood storage?</v>
      </c>
      <c r="C89" t="s">
        <v>283</v>
      </c>
      <c r="D89" t="str">
        <f>Table5[[#This Row],[Question '#]]&amp;Table5[[#This Row],[STORMWATER MANAGEMENT QUESTIONS]]&amp;Table5[[#This Row],[SELECT ANSWERS]]</f>
        <v>30)Do any ultra-urban practices incorporate sub-surface flood storage?Yes</v>
      </c>
      <c r="F89">
        <v>1</v>
      </c>
    </row>
    <row r="90" spans="1:9" ht="43.5" x14ac:dyDescent="0.35">
      <c r="A90" t="s">
        <v>176</v>
      </c>
      <c r="B90" s="1" t="str">
        <f>VLOOKUP(A90,'3. Answer Assessment Questions'!A$1:D$109,4,FALSE)</f>
        <v>Do filter media specifications include any of the following specifications or additives include options for the following additives? (select "Yes" for all that apply)</v>
      </c>
      <c r="D90" t="str">
        <f>Table5[[#This Row],[Question '#]]&amp;Table5[[#This Row],[STORMWATER MANAGEMENT QUESTIONS]]&amp;Table5[[#This Row],[SELECT ANSWERS]]</f>
        <v>31)Do filter media specifications include any of the following specifications or additives include options for the following additives? (select "Yes" for all that apply)</v>
      </c>
    </row>
    <row r="91" spans="1:9" x14ac:dyDescent="0.35">
      <c r="A91" t="s">
        <v>178</v>
      </c>
      <c r="B91" s="1" t="str">
        <f>VLOOKUP(A91,'3. Answer Assessment Questions'!A$1:D$109,4,FALSE)</f>
        <v>Minimum % sand (at least 50%) and maximum clay content</v>
      </c>
      <c r="C91" t="s">
        <v>283</v>
      </c>
      <c r="D91" t="str">
        <f>Table5[[#This Row],[Question '#]]&amp;Table5[[#This Row],[STORMWATER MANAGEMENT QUESTIONS]]&amp;Table5[[#This Row],[SELECT ANSWERS]]</f>
        <v>31a)Minimum % sand (at least 50%) and maximum clay contentYes</v>
      </c>
      <c r="E91">
        <v>1</v>
      </c>
      <c r="F91">
        <v>1</v>
      </c>
      <c r="G91">
        <v>0</v>
      </c>
      <c r="H91">
        <v>0</v>
      </c>
      <c r="I91">
        <v>0</v>
      </c>
    </row>
    <row r="92" spans="1:9" x14ac:dyDescent="0.35">
      <c r="A92" t="s">
        <v>180</v>
      </c>
      <c r="B92" s="1" t="str">
        <f>VLOOKUP(A92,'3. Answer Assessment Questions'!A$1:D$109,4,FALSE)</f>
        <v>Biochar</v>
      </c>
      <c r="C92" t="s">
        <v>283</v>
      </c>
      <c r="D92" t="str">
        <f>Table5[[#This Row],[Question '#]]&amp;Table5[[#This Row],[STORMWATER MANAGEMENT QUESTIONS]]&amp;Table5[[#This Row],[SELECT ANSWERS]]</f>
        <v>31b)BiocharYes</v>
      </c>
      <c r="E92">
        <v>0</v>
      </c>
      <c r="F92">
        <v>1</v>
      </c>
      <c r="G92">
        <v>1</v>
      </c>
      <c r="H92">
        <v>1</v>
      </c>
      <c r="I92">
        <v>0</v>
      </c>
    </row>
    <row r="93" spans="1:9" x14ac:dyDescent="0.35">
      <c r="A93" t="s">
        <v>182</v>
      </c>
      <c r="B93" s="1" t="str">
        <f>VLOOKUP(A93,'3. Answer Assessment Questions'!A$1:D$109,4,FALSE)</f>
        <v>Polymers designed to retain soil moisture</v>
      </c>
      <c r="C93" t="s">
        <v>283</v>
      </c>
      <c r="D93" t="str">
        <f>Table5[[#This Row],[Question '#]]&amp;Table5[[#This Row],[STORMWATER MANAGEMENT QUESTIONS]]&amp;Table5[[#This Row],[SELECT ANSWERS]]</f>
        <v>31c)Polymers designed to retain soil moistureYes</v>
      </c>
      <c r="E93">
        <v>0</v>
      </c>
      <c r="F93">
        <v>0</v>
      </c>
      <c r="G93">
        <v>1</v>
      </c>
      <c r="H93">
        <v>1</v>
      </c>
      <c r="I93">
        <v>0</v>
      </c>
    </row>
    <row r="94" spans="1:9" ht="29" x14ac:dyDescent="0.35">
      <c r="A94" t="s">
        <v>184</v>
      </c>
      <c r="B94" s="1" t="str">
        <f>VLOOKUP(A94,'3. Answer Assessment Questions'!A$1:D$109,4,FALSE)</f>
        <v>Are any of the following considered when selecting BMP materials? (select "Yes" for all that apply)</v>
      </c>
      <c r="D94" t="str">
        <f>Table5[[#This Row],[Question '#]]&amp;Table5[[#This Row],[STORMWATER MANAGEMENT QUESTIONS]]&amp;Table5[[#This Row],[SELECT ANSWERS]]</f>
        <v>32)Are any of the following considered when selecting BMP materials? (select "Yes" for all that apply)</v>
      </c>
    </row>
    <row r="95" spans="1:9" ht="29" x14ac:dyDescent="0.35">
      <c r="A95" t="s">
        <v>186</v>
      </c>
      <c r="B95" s="1" t="str">
        <f>VLOOKUP(A95,'3. Answer Assessment Questions'!A$1:D$109,4,FALSE)</f>
        <v>Temperature-resistance (e.g., incorporating stone matrix asphalt or polymer-modified binders into permeable pavement specifications)</v>
      </c>
      <c r="C95" t="s">
        <v>283</v>
      </c>
      <c r="D95" t="str">
        <f>Table5[[#This Row],[Question '#]]&amp;Table5[[#This Row],[STORMWATER MANAGEMENT QUESTIONS]]&amp;Table5[[#This Row],[SELECT ANSWERS]]</f>
        <v>32a)Temperature-resistance (e.g., incorporating stone matrix asphalt or polymer-modified binders into permeable pavement specifications)Yes</v>
      </c>
      <c r="H95">
        <v>1</v>
      </c>
    </row>
    <row r="96" spans="1:9" ht="29" x14ac:dyDescent="0.35">
      <c r="A96" t="s">
        <v>188</v>
      </c>
      <c r="B96" s="1" t="str">
        <f>VLOOKUP(A96,'3. Answer Assessment Questions'!A$1:D$109,4,FALSE)</f>
        <v>Corrosion-resistance, such as use of corrosion-resistant concrete in areas of sea level rise</v>
      </c>
      <c r="C96" t="s">
        <v>283</v>
      </c>
      <c r="D96" t="str">
        <f>Table5[[#This Row],[Question '#]]&amp;Table5[[#This Row],[STORMWATER MANAGEMENT QUESTIONS]]&amp;Table5[[#This Row],[SELECT ANSWERS]]</f>
        <v>32b)Corrosion-resistance, such as use of corrosion-resistant concrete in areas of sea level riseYes</v>
      </c>
      <c r="I96">
        <v>1</v>
      </c>
    </row>
    <row r="97" spans="1:9" x14ac:dyDescent="0.35">
      <c r="A97" t="s">
        <v>190</v>
      </c>
      <c r="B97" s="1" t="str">
        <f>VLOOKUP(A97,'3. Answer Assessment Questions'!A$1:D$109,4,FALSE)</f>
        <v>Carbon footprint of materials</v>
      </c>
      <c r="C97" t="s">
        <v>283</v>
      </c>
      <c r="D97" t="str">
        <f>Table5[[#This Row],[Question '#]]&amp;Table5[[#This Row],[STORMWATER MANAGEMENT QUESTIONS]]&amp;Table5[[#This Row],[SELECT ANSWERS]]</f>
        <v>32c)Carbon footprint of materialsYes</v>
      </c>
      <c r="F97">
        <v>1</v>
      </c>
      <c r="G97">
        <v>1</v>
      </c>
      <c r="H97">
        <v>1</v>
      </c>
      <c r="I97">
        <v>1</v>
      </c>
    </row>
    <row r="98" spans="1:9" x14ac:dyDescent="0.35">
      <c r="A98" t="s">
        <v>192</v>
      </c>
      <c r="B98" s="1" t="str">
        <f>VLOOKUP(A98,'3. Answer Assessment Questions'!A$1:D$109,4,FALSE)</f>
        <v>Solar reflection (e.g., incorporating lighter color materials)</v>
      </c>
      <c r="C98" t="s">
        <v>283</v>
      </c>
      <c r="D98" t="str">
        <f>Table5[[#This Row],[Question '#]]&amp;Table5[[#This Row],[STORMWATER MANAGEMENT QUESTIONS]]&amp;Table5[[#This Row],[SELECT ANSWERS]]</f>
        <v>32d)Solar reflection (e.g., incorporating lighter color materials)Yes</v>
      </c>
      <c r="H98">
        <v>1</v>
      </c>
    </row>
    <row r="99" spans="1:9" x14ac:dyDescent="0.35">
      <c r="A99" t="s">
        <v>195</v>
      </c>
      <c r="B99" s="1" t="str">
        <f>VLOOKUP(A99,'3. Answer Assessment Questions'!A$1:D$109,4,FALSE)</f>
        <v>Do standards require ongoing maintenance?</v>
      </c>
      <c r="C99" t="s">
        <v>283</v>
      </c>
      <c r="D99" t="str">
        <f>Table5[[#This Row],[Question '#]]&amp;Table5[[#This Row],[STORMWATER MANAGEMENT QUESTIONS]]&amp;Table5[[#This Row],[SELECT ANSWERS]]</f>
        <v>33)Do standards require ongoing maintenance?Yes</v>
      </c>
      <c r="E99">
        <v>1</v>
      </c>
      <c r="F99">
        <v>1</v>
      </c>
      <c r="G99">
        <v>1</v>
      </c>
      <c r="H99">
        <v>1</v>
      </c>
      <c r="I99">
        <v>1</v>
      </c>
    </row>
    <row r="100" spans="1:9" x14ac:dyDescent="0.35">
      <c r="A100" t="s">
        <v>197</v>
      </c>
      <c r="B100" s="1" t="str">
        <f>VLOOKUP(A100,'3. Answer Assessment Questions'!A$1:D$109,4,FALSE)</f>
        <v>Are inspection checklists provided in the standards?</v>
      </c>
      <c r="C100" t="s">
        <v>283</v>
      </c>
      <c r="D100" t="str">
        <f>Table5[[#This Row],[Question '#]]&amp;Table5[[#This Row],[STORMWATER MANAGEMENT QUESTIONS]]&amp;Table5[[#This Row],[SELECT ANSWERS]]</f>
        <v>34)Are inspection checklists provided in the standards?Yes</v>
      </c>
      <c r="E100">
        <v>1</v>
      </c>
      <c r="F100">
        <v>1</v>
      </c>
      <c r="G100">
        <v>1</v>
      </c>
      <c r="H100">
        <v>1</v>
      </c>
      <c r="I100">
        <v>1</v>
      </c>
    </row>
    <row r="101" spans="1:9" ht="29" x14ac:dyDescent="0.35">
      <c r="A101" t="s">
        <v>199</v>
      </c>
      <c r="B101" s="1" t="str">
        <f>VLOOKUP(A101,'3. Answer Assessment Questions'!A$1:D$109,4,FALSE)</f>
        <v xml:space="preserve"> Is an irrigation source required to establish vegetation or is an analysis required to determine if irrigation is needed?</v>
      </c>
      <c r="C101" t="s">
        <v>283</v>
      </c>
      <c r="D101" t="str">
        <f>Table5[[#This Row],[Question '#]]&amp;Table5[[#This Row],[STORMWATER MANAGEMENT QUESTIONS]]&amp;Table5[[#This Row],[SELECT ANSWERS]]</f>
        <v>35) Is an irrigation source required to establish vegetation or is an analysis required to determine if irrigation is needed?Yes</v>
      </c>
      <c r="E101">
        <v>1</v>
      </c>
      <c r="G101">
        <v>1</v>
      </c>
    </row>
    <row r="102" spans="1:9" ht="29" x14ac:dyDescent="0.35">
      <c r="A102" t="s">
        <v>201</v>
      </c>
      <c r="B102" s="1" t="str">
        <f>VLOOKUP(A102,'3. Answer Assessment Questions'!A$1:D$109,4,FALSE)</f>
        <v>Does maintenance guidance mention adapting to the following? (select "Yes" for all that apply)</v>
      </c>
      <c r="D102" t="str">
        <f>Table5[[#This Row],[Question '#]]&amp;Table5[[#This Row],[STORMWATER MANAGEMENT QUESTIONS]]&amp;Table5[[#This Row],[SELECT ANSWERS]]</f>
        <v>36)Does maintenance guidance mention adapting to the following? (select "Yes" for all that apply)</v>
      </c>
    </row>
    <row r="103" spans="1:9" x14ac:dyDescent="0.35">
      <c r="A103" t="s">
        <v>203</v>
      </c>
      <c r="B103" s="1" t="str">
        <f>VLOOKUP(A103,'3. Answer Assessment Questions'!A$1:D$109,4,FALSE)</f>
        <v>Drought</v>
      </c>
      <c r="C103" t="s">
        <v>283</v>
      </c>
      <c r="D103" t="str">
        <f>Table5[[#This Row],[Question '#]]&amp;Table5[[#This Row],[STORMWATER MANAGEMENT QUESTIONS]]&amp;Table5[[#This Row],[SELECT ANSWERS]]</f>
        <v>36a)DroughtYes</v>
      </c>
      <c r="G103">
        <v>1</v>
      </c>
    </row>
    <row r="104" spans="1:9" x14ac:dyDescent="0.35">
      <c r="A104" t="s">
        <v>205</v>
      </c>
      <c r="B104" s="1" t="str">
        <f>VLOOKUP(A104,'3. Answer Assessment Questions'!A$1:D$109,4,FALSE)</f>
        <v>Frequent rainfall/erosive events</v>
      </c>
      <c r="C104" t="s">
        <v>283</v>
      </c>
      <c r="D104" t="str">
        <f>Table5[[#This Row],[Question '#]]&amp;Table5[[#This Row],[STORMWATER MANAGEMENT QUESTIONS]]&amp;Table5[[#This Row],[SELECT ANSWERS]]</f>
        <v>36b)Frequent rainfall/erosive eventsYes</v>
      </c>
      <c r="F104">
        <v>1</v>
      </c>
    </row>
    <row r="105" spans="1:9" x14ac:dyDescent="0.35">
      <c r="A105" t="s">
        <v>207</v>
      </c>
      <c r="B105" s="1" t="str">
        <f>VLOOKUP(A105,'3. Answer Assessment Questions'!A$1:D$109,4,FALSE)</f>
        <v>Sea level rise and inundation</v>
      </c>
      <c r="C105" t="s">
        <v>283</v>
      </c>
      <c r="D105" t="str">
        <f>Table5[[#This Row],[Question '#]]&amp;Table5[[#This Row],[STORMWATER MANAGEMENT QUESTIONS]]&amp;Table5[[#This Row],[SELECT ANSWERS]]</f>
        <v>36c)Sea level rise and inundationYes</v>
      </c>
      <c r="I105">
        <v>1</v>
      </c>
    </row>
    <row r="106" spans="1:9" ht="29" x14ac:dyDescent="0.35">
      <c r="A106" t="s">
        <v>209</v>
      </c>
      <c r="B106" s="1" t="str">
        <f>VLOOKUP(A106,'3. Answer Assessment Questions'!A$1:D$109,4,FALSE)</f>
        <v>Do maintenance standards include a “practice conversion” option for changing climate conditions?</v>
      </c>
      <c r="C106" t="s">
        <v>283</v>
      </c>
      <c r="D106" t="str">
        <f>Table5[[#This Row],[Question '#]]&amp;Table5[[#This Row],[STORMWATER MANAGEMENT QUESTIONS]]&amp;Table5[[#This Row],[SELECT ANSWERS]]</f>
        <v>37)Do maintenance standards include a “practice conversion” option for changing climate conditions?Yes</v>
      </c>
      <c r="I106">
        <v>1</v>
      </c>
    </row>
    <row r="107" spans="1:9" x14ac:dyDescent="0.35">
      <c r="A107" t="s">
        <v>211</v>
      </c>
      <c r="B107" s="1" t="str">
        <f>VLOOKUP(A107,'3. Answer Assessment Questions'!A$1:D$109,4,FALSE)</f>
        <v>Do standards include a landscaping plant list?</v>
      </c>
      <c r="C107" t="s">
        <v>283</v>
      </c>
      <c r="D107" t="str">
        <f>Table5[[#This Row],[Question '#]]&amp;Table5[[#This Row],[STORMWATER MANAGEMENT QUESTIONS]]&amp;Table5[[#This Row],[SELECT ANSWERS]]</f>
        <v>38)Do standards include a landscaping plant list?Yes</v>
      </c>
      <c r="E107">
        <v>1</v>
      </c>
    </row>
    <row r="108" spans="1:9" ht="29" x14ac:dyDescent="0.35">
      <c r="A108" t="s">
        <v>213</v>
      </c>
      <c r="B108" s="1" t="str">
        <f>VLOOKUP(A108,'3. Answer Assessment Questions'!A$1:D$109,4,FALSE)</f>
        <v>Does the plant list identify plants with the following benefits or tolerances? (select "Yes" for all that apply)</v>
      </c>
      <c r="D108" t="str">
        <f>Table5[[#This Row],[Question '#]]&amp;Table5[[#This Row],[STORMWATER MANAGEMENT QUESTIONS]]&amp;Table5[[#This Row],[SELECT ANSWERS]]</f>
        <v>39)Does the plant list identify plants with the following benefits or tolerances? (select "Yes" for all that apply)</v>
      </c>
    </row>
    <row r="109" spans="1:9" x14ac:dyDescent="0.35">
      <c r="A109" t="s">
        <v>215</v>
      </c>
      <c r="B109" s="1" t="str">
        <f>VLOOKUP(A109,'3. Answer Assessment Questions'!A$1:D$109,4,FALSE)</f>
        <v>Tolerance for "wet feet" (e.g., frequently inundated soils)</v>
      </c>
      <c r="C109" t="s">
        <v>283</v>
      </c>
      <c r="D109" t="str">
        <f>Table5[[#This Row],[Question '#]]&amp;Table5[[#This Row],[STORMWATER MANAGEMENT QUESTIONS]]&amp;Table5[[#This Row],[SELECT ANSWERS]]</f>
        <v>39a)Tolerance for "wet feet" (e.g., frequently inundated soils)Yes</v>
      </c>
      <c r="F109">
        <v>1</v>
      </c>
      <c r="I109">
        <v>1</v>
      </c>
    </row>
    <row r="110" spans="1:9" x14ac:dyDescent="0.35">
      <c r="A110" t="s">
        <v>217</v>
      </c>
      <c r="B110" s="1" t="str">
        <f>VLOOKUP(A110,'3. Answer Assessment Questions'!A$1:D$109,4,FALSE)</f>
        <v>Frequent inundation tolerance</v>
      </c>
      <c r="C110" t="s">
        <v>283</v>
      </c>
      <c r="D110" t="str">
        <f>Table5[[#This Row],[Question '#]]&amp;Table5[[#This Row],[STORMWATER MANAGEMENT QUESTIONS]]&amp;Table5[[#This Row],[SELECT ANSWERS]]</f>
        <v>39b)Frequent inundation toleranceYes</v>
      </c>
      <c r="F110">
        <v>1</v>
      </c>
    </row>
    <row r="111" spans="1:9" x14ac:dyDescent="0.35">
      <c r="A111" t="s">
        <v>219</v>
      </c>
      <c r="B111" s="1" t="str">
        <f>VLOOKUP(A111,'3. Answer Assessment Questions'!A$1:D$109,4,FALSE)</f>
        <v>Prolonged drought resistance</v>
      </c>
      <c r="C111" t="s">
        <v>283</v>
      </c>
      <c r="D111" t="str">
        <f>Table5[[#This Row],[Question '#]]&amp;Table5[[#This Row],[STORMWATER MANAGEMENT QUESTIONS]]&amp;Table5[[#This Row],[SELECT ANSWERS]]</f>
        <v>39c)Prolonged drought resistanceYes</v>
      </c>
      <c r="G111">
        <v>1</v>
      </c>
      <c r="H111">
        <v>1</v>
      </c>
    </row>
    <row r="112" spans="1:9" x14ac:dyDescent="0.35">
      <c r="A112" t="s">
        <v>221</v>
      </c>
      <c r="B112" s="1" t="str">
        <f>VLOOKUP(A112,'3. Answer Assessment Questions'!A$1:D$109,4,FALSE)</f>
        <v>Salt tolerance</v>
      </c>
      <c r="C112" t="s">
        <v>283</v>
      </c>
      <c r="D112" t="str">
        <f>Table5[[#This Row],[Question '#]]&amp;Table5[[#This Row],[STORMWATER MANAGEMENT QUESTIONS]]&amp;Table5[[#This Row],[SELECT ANSWERS]]</f>
        <v>39d)Salt toleranceYes</v>
      </c>
      <c r="I112">
        <v>1</v>
      </c>
    </row>
    <row r="113" spans="1:9" x14ac:dyDescent="0.35">
      <c r="A113" t="s">
        <v>223</v>
      </c>
      <c r="B113" s="1" t="str">
        <f>VLOOKUP(A113,'3. Answer Assessment Questions'!A$1:D$109,4,FALSE)</f>
        <v>Fire resistance</v>
      </c>
      <c r="C113" t="s">
        <v>283</v>
      </c>
      <c r="D113" t="str">
        <f>Table5[[#This Row],[Question '#]]&amp;Table5[[#This Row],[STORMWATER MANAGEMENT QUESTIONS]]&amp;Table5[[#This Row],[SELECT ANSWERS]]</f>
        <v>39e)Fire resistanceYes</v>
      </c>
      <c r="G113">
        <v>1</v>
      </c>
      <c r="H113">
        <v>1</v>
      </c>
    </row>
    <row r="114" spans="1:9" x14ac:dyDescent="0.35">
      <c r="A114" t="s">
        <v>225</v>
      </c>
      <c r="B114" s="1" t="str">
        <f>VLOOKUP(A114,'3. Answer Assessment Questions'!A$1:D$109,4,FALSE)</f>
        <v>Shading/cooling</v>
      </c>
      <c r="C114" t="s">
        <v>283</v>
      </c>
      <c r="D114" t="str">
        <f>Table5[[#This Row],[Question '#]]&amp;Table5[[#This Row],[STORMWATER MANAGEMENT QUESTIONS]]&amp;Table5[[#This Row],[SELECT ANSWERS]]</f>
        <v>39f)Shading/coolingYes</v>
      </c>
      <c r="H114">
        <v>1</v>
      </c>
    </row>
    <row r="115" spans="1:9" ht="29" x14ac:dyDescent="0.35">
      <c r="A115" t="s">
        <v>227</v>
      </c>
      <c r="B115" s="1" t="str">
        <f>VLOOKUP(A115,'3. Answer Assessment Questions'!A$1:D$109,4,FALSE)</f>
        <v>Does the landscaping section suggest methods to modify plant selections based on changing climate conditions?</v>
      </c>
      <c r="C115" t="s">
        <v>283</v>
      </c>
      <c r="D115" t="str">
        <f>Table5[[#This Row],[Question '#]]&amp;Table5[[#This Row],[STORMWATER MANAGEMENT QUESTIONS]]&amp;Table5[[#This Row],[SELECT ANSWERS]]</f>
        <v>40)Does the landscaping section suggest methods to modify plant selections based on changing climate conditions?Yes</v>
      </c>
      <c r="F115">
        <v>1</v>
      </c>
      <c r="G115">
        <v>1</v>
      </c>
      <c r="H115">
        <v>1</v>
      </c>
      <c r="I115">
        <v>1</v>
      </c>
    </row>
  </sheetData>
  <dataValidations disablePrompts="1" count="1">
    <dataValidation showInputMessage="1" showErrorMessage="1" sqref="C28" xr:uid="{5E96AFEA-8C12-4D10-8C89-4E1C3277E64A}"/>
  </dataValidation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C4C7-3684-48E6-83D6-E84E31DAA9F1}">
  <sheetPr codeName="Sheet7"/>
  <dimension ref="A3:W88"/>
  <sheetViews>
    <sheetView topLeftCell="A19" workbookViewId="0">
      <pane xSplit="3" topLeftCell="D1" activePane="topRight" state="frozen"/>
      <selection pane="topRight" activeCell="C3" sqref="C3"/>
    </sheetView>
  </sheetViews>
  <sheetFormatPr defaultRowHeight="14.5" x14ac:dyDescent="0.35"/>
  <cols>
    <col min="1" max="1" width="10.54296875" customWidth="1"/>
    <col min="2" max="2" width="86.1796875" style="1" customWidth="1"/>
    <col min="3" max="3" width="31.453125" customWidth="1"/>
    <col min="4" max="4" width="85.54296875" customWidth="1"/>
    <col min="5" max="5" width="27.54296875" customWidth="1"/>
    <col min="6" max="6" width="31" customWidth="1"/>
    <col min="7" max="7" width="21.453125" customWidth="1"/>
    <col min="8" max="8" width="25.453125" customWidth="1"/>
    <col min="10" max="10" width="24.453125" customWidth="1"/>
    <col min="11" max="11" width="11.453125" customWidth="1"/>
    <col min="12" max="12" width="78.453125" customWidth="1"/>
    <col min="14" max="14" width="99.54296875" customWidth="1"/>
    <col min="15" max="15" width="22.1796875" customWidth="1"/>
  </cols>
  <sheetData>
    <row r="3" spans="1:23" x14ac:dyDescent="0.35">
      <c r="A3" t="s">
        <v>278</v>
      </c>
      <c r="B3" s="1" t="s">
        <v>32</v>
      </c>
      <c r="C3" t="s">
        <v>279</v>
      </c>
      <c r="D3" t="s">
        <v>280</v>
      </c>
      <c r="E3" t="s">
        <v>308</v>
      </c>
      <c r="F3" t="s">
        <v>309</v>
      </c>
      <c r="G3" t="s">
        <v>310</v>
      </c>
      <c r="H3" t="s">
        <v>204</v>
      </c>
      <c r="I3" t="s">
        <v>311</v>
      </c>
      <c r="J3" t="s">
        <v>312</v>
      </c>
      <c r="K3" t="s">
        <v>313</v>
      </c>
      <c r="L3" t="s">
        <v>314</v>
      </c>
      <c r="M3" t="s">
        <v>315</v>
      </c>
      <c r="N3" t="s">
        <v>316</v>
      </c>
      <c r="O3" t="s">
        <v>317</v>
      </c>
      <c r="P3" t="s">
        <v>318</v>
      </c>
      <c r="Q3" t="s">
        <v>319</v>
      </c>
    </row>
    <row r="4" spans="1:23" ht="29" x14ac:dyDescent="0.35">
      <c r="A4" t="s">
        <v>40</v>
      </c>
      <c r="B4" s="1" t="str">
        <f>VLOOKUP(A4,'3. Answer Assessment Questions'!A$1:D$109,4,FALSE)</f>
        <v>Do stormwater standards provide detailed guidance for selecting and designing appropriate stormwater best management pratices (BMPs)?</v>
      </c>
      <c r="D4" t="str">
        <f>Recommendations[[#This Row],[Question '#]]&amp;Recommendations[[#This Row],[STORMWATER MANAGEMENT QUESTIONS]]&amp;Recommendations[[#This Row],[SELECT ANSWERS]]</f>
        <v>1)Do stormwater standards provide detailed guidance for selecting and designing appropriate stormwater best management pratices (BMPs)?</v>
      </c>
      <c r="E4">
        <v>1</v>
      </c>
      <c r="F4">
        <v>1</v>
      </c>
      <c r="K4">
        <f>Recommendations[[#This Row],[Include1]]+Recommendations[[#This Row],[Exclude]]</f>
        <v>1</v>
      </c>
      <c r="L4">
        <f>IF(SUM(Recommendations[[#This Row],[Modern Manual]:[Sea Level Rise]])=0,0,Recommendations[[#This Row],[Include]])</f>
        <v>1</v>
      </c>
      <c r="M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4" t="s">
        <v>320</v>
      </c>
      <c r="O4">
        <v>1</v>
      </c>
      <c r="P4">
        <f>IF(ISERROR(VLOOKUP(Recommendations[[#This Row],[QA]],'3. Answer Assessment Questions'!$G$6:$H$102,2,FALSE)),0,1)</f>
        <v>1</v>
      </c>
      <c r="R4" t="s">
        <v>283</v>
      </c>
      <c r="S4">
        <v>0</v>
      </c>
      <c r="T4">
        <v>1</v>
      </c>
      <c r="U4">
        <v>1</v>
      </c>
      <c r="V4">
        <v>1</v>
      </c>
      <c r="W4">
        <v>1</v>
      </c>
    </row>
    <row r="5" spans="1:23" x14ac:dyDescent="0.35">
      <c r="A5" t="s">
        <v>91</v>
      </c>
      <c r="B5" s="1" t="str">
        <f>VLOOKUP(A5,'3. Answer Assessment Questions'!A$1:D$109,4,FALSE)</f>
        <v>Do the standards provide guidance on how to size rainwater harvesting systems?</v>
      </c>
      <c r="D5" t="str">
        <f>Recommendations[[#This Row],[Question '#]]&amp;Recommendations[[#This Row],[STORMWATER MANAGEMENT QUESTIONS]]&amp;Recommendations[[#This Row],[SELECT ANSWERS]]</f>
        <v>10)Do the standards provide guidance on how to size rainwater harvesting systems?</v>
      </c>
      <c r="E5">
        <v>2</v>
      </c>
      <c r="F5">
        <v>1</v>
      </c>
      <c r="G5">
        <v>1</v>
      </c>
      <c r="H5">
        <v>1</v>
      </c>
      <c r="K5">
        <f>Recommendations[[#This Row],[Include1]]+Recommendations[[#This Row],[Exclude]]</f>
        <v>1</v>
      </c>
      <c r="L5">
        <f>IF(SUM(Recommendations[[#This Row],[Modern Manual]:[Sea Level Rise]])=0,0,Recommendations[[#This Row],[Include]])</f>
        <v>1</v>
      </c>
      <c r="M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18</v>
      </c>
      <c r="N5" t="s">
        <v>321</v>
      </c>
      <c r="O5">
        <v>18</v>
      </c>
      <c r="P5">
        <f>IF(ISERROR(VLOOKUP(Recommendations[[#This Row],[QA]],'3. Answer Assessment Questions'!$G$6:$H$102,2,FALSE)),0,1)</f>
        <v>1</v>
      </c>
    </row>
    <row r="6" spans="1:23" ht="29" x14ac:dyDescent="0.35">
      <c r="A6" t="s">
        <v>46</v>
      </c>
      <c r="B6" s="1" t="str">
        <f>VLOOKUP(A6,'3. Answer Assessment Questions'!A$1:D$109,4,FALSE)</f>
        <v>If applicable, does the climate section include specific recommendations for how to design practices to adapt to climate change?</v>
      </c>
      <c r="D6" t="str">
        <f>Recommendations[[#This Row],[Question '#]]&amp;Recommendations[[#This Row],[STORMWATER MANAGEMENT QUESTIONS]]&amp;Recommendations[[#This Row],[SELECT ANSWERS]]</f>
        <v>2b)If applicable, does the climate section include specific recommendations for how to design practices to adapt to climate change?</v>
      </c>
      <c r="E6">
        <v>1</v>
      </c>
      <c r="G6">
        <v>1</v>
      </c>
      <c r="H6">
        <v>1</v>
      </c>
      <c r="I6">
        <v>1</v>
      </c>
      <c r="J6">
        <f>IF(Sea_Level_Impact="Low",0,1)</f>
        <v>1</v>
      </c>
      <c r="K6">
        <f>Recommendations[[#This Row],[Include1]]+Recommendations[[#This Row],[Exclude]]</f>
        <v>0</v>
      </c>
      <c r="L6">
        <f>IF(SUM(Recommendations[[#This Row],[Modern Manual]:[Sea Level Rise]])=0,0,Recommendations[[#This Row],[Include]])</f>
        <v>0</v>
      </c>
      <c r="M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90004</v>
      </c>
      <c r="N6" t="s">
        <v>322</v>
      </c>
      <c r="O6">
        <v>4</v>
      </c>
      <c r="P6">
        <f>IF(ISERROR(VLOOKUP(Recommendations[[#This Row],[QA]],'3. Answer Assessment Questions'!$G$6:$H$102,2,FALSE)),0,1)</f>
        <v>1</v>
      </c>
      <c r="Q6">
        <f>IF(L4=1,-1,0)</f>
        <v>-1</v>
      </c>
    </row>
    <row r="7" spans="1:23" x14ac:dyDescent="0.35">
      <c r="A7" t="s">
        <v>44</v>
      </c>
      <c r="B7" s="1" t="str">
        <f>VLOOKUP(A7,'3. Answer Assessment Questions'!A$1:D$109,4,FALSE)</f>
        <v>If so, does this section explicitly address or mention sea level rise?</v>
      </c>
      <c r="D7" t="str">
        <f>Recommendations[[#This Row],[Question '#]]&amp;Recommendations[[#This Row],[STORMWATER MANAGEMENT QUESTIONS]]&amp;Recommendations[[#This Row],[SELECT ANSWERS]]</f>
        <v>2a)If so, does this section explicitly address or mention sea level rise?</v>
      </c>
      <c r="E7">
        <v>1</v>
      </c>
      <c r="J7">
        <f>IF(Sea_Level_Impact="Low",0,1)</f>
        <v>1</v>
      </c>
      <c r="K7">
        <f>Recommendations[[#This Row],[Include1]]+Recommendations[[#This Row],[Exclude]]</f>
        <v>0</v>
      </c>
      <c r="L7">
        <f>IF(SUM(Recommendations[[#This Row],[Modern Manual]:[Sea Level Rise]])=0,0,Recommendations[[#This Row],[Include]])</f>
        <v>0</v>
      </c>
      <c r="M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99903</v>
      </c>
      <c r="N7" t="s">
        <v>323</v>
      </c>
      <c r="O7">
        <v>3</v>
      </c>
      <c r="P7">
        <f>IF(ISERROR(VLOOKUP(Recommendations[[#This Row],[QA]],'3. Answer Assessment Questions'!$G$6:$H$102,2,FALSE)),0,1)</f>
        <v>1</v>
      </c>
      <c r="Q7">
        <f>IF(L5=1,-1,0)</f>
        <v>-1</v>
      </c>
    </row>
    <row r="8" spans="1:23" x14ac:dyDescent="0.35">
      <c r="A8" t="s">
        <v>49</v>
      </c>
      <c r="B8" s="1" t="str">
        <f>VLOOKUP(A8,'3. Answer Assessment Questions'!A$1:D$109,4,FALSE)</f>
        <v>What is the source of data for water quantity (e.g., flood or channel protection) storms?</v>
      </c>
      <c r="C8" t="s">
        <v>324</v>
      </c>
      <c r="D8" t="str">
        <f>Recommendations[[#This Row],[Question '#]]&amp;Recommendations[[#This Row],[STORMWATER MANAGEMENT QUESTIONS]]&amp;Recommendations[[#This Row],[SELECT ANSWERS]]</f>
        <v>3)What is the source of data for water quantity (e.g., flood or channel protection) storms?TP 40 (pre-Atlas 14)</v>
      </c>
      <c r="E8">
        <v>2</v>
      </c>
      <c r="F8">
        <v>1</v>
      </c>
      <c r="G8">
        <v>1</v>
      </c>
      <c r="K8">
        <f>Recommendations[[#This Row],[Include1]]+Recommendations[[#This Row],[Exclude]]</f>
        <v>0</v>
      </c>
      <c r="L8">
        <f>IF(SUM(Recommendations[[#This Row],[Modern Manual]:[Sea Level Rise]])=0,0,Recommendations[[#This Row],[Include]])</f>
        <v>0</v>
      </c>
      <c r="M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8" t="s">
        <v>325</v>
      </c>
      <c r="O8">
        <v>1</v>
      </c>
      <c r="P8">
        <f>IF(ISERROR(VLOOKUP(Recommendations[[#This Row],[QA]],'3. Answer Assessment Questions'!$G$6:$H$102,2,FALSE)),0,1)</f>
        <v>0</v>
      </c>
    </row>
    <row r="9" spans="1:23" x14ac:dyDescent="0.35">
      <c r="A9" t="s">
        <v>49</v>
      </c>
      <c r="B9" s="1" t="str">
        <f>VLOOKUP(A9,'3. Answer Assessment Questions'!A$1:D$109,4,FALSE)</f>
        <v>What is the source of data for water quantity (e.g., flood or channel protection) storms?</v>
      </c>
      <c r="C9" t="s">
        <v>287</v>
      </c>
      <c r="D9" t="str">
        <f>Recommendations[[#This Row],[Question '#]]&amp;Recommendations[[#This Row],[STORMWATER MANAGEMENT QUESTIONS]]&amp;Recommendations[[#This Row],[SELECT ANSWERS]]</f>
        <v>3)What is the source of data for water quantity (e.g., flood or channel protection) storms?Unknown or not Identified</v>
      </c>
      <c r="E9">
        <v>2</v>
      </c>
      <c r="F9">
        <v>1</v>
      </c>
      <c r="G9">
        <v>1</v>
      </c>
      <c r="K9">
        <f>Recommendations[[#This Row],[Include1]]+Recommendations[[#This Row],[Exclude]]</f>
        <v>0</v>
      </c>
      <c r="L9">
        <f>IF(SUM(Recommendations[[#This Row],[Modern Manual]:[Sea Level Rise]])=0,0,Recommendations[[#This Row],[Include]])</f>
        <v>0</v>
      </c>
      <c r="M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9" t="s">
        <v>325</v>
      </c>
      <c r="O9">
        <v>1</v>
      </c>
      <c r="P9">
        <f>IF(ISERROR(VLOOKUP(Recommendations[[#This Row],[QA]],'3. Answer Assessment Questions'!$G$6:$H$102,2,FALSE)),0,1)</f>
        <v>0</v>
      </c>
    </row>
    <row r="10" spans="1:23" ht="14.5" customHeight="1" x14ac:dyDescent="0.35">
      <c r="A10" t="s">
        <v>95</v>
      </c>
      <c r="B10" s="1" t="str">
        <f>VLOOKUP(A10,'3. Answer Assessment Questions'!A$1:D$109,4,FALSE)</f>
        <v>Water quality of water resources (e.g., phosphorus-restricted basins or cold-water streams)</v>
      </c>
      <c r="D10" t="str">
        <f>Recommendations[[#This Row],[Question '#]]&amp;Recommendations[[#This Row],[STORMWATER MANAGEMENT QUESTIONS]]&amp;Recommendations[[#This Row],[SELECT ANSWERS]]</f>
        <v>11a)Water quality of water resources (e.g., phosphorus-restricted basins or cold-water streams)</v>
      </c>
      <c r="E10">
        <v>2</v>
      </c>
      <c r="F10">
        <v>1</v>
      </c>
      <c r="G10" s="8"/>
      <c r="H10">
        <v>1</v>
      </c>
      <c r="I10">
        <v>1</v>
      </c>
      <c r="K10">
        <f>Recommendations[[#This Row],[Include1]]+Recommendations[[#This Row],[Exclude]]</f>
        <v>1</v>
      </c>
      <c r="L10">
        <f>IF(SUM(Recommendations[[#This Row],[Modern Manual]:[Sea Level Rise]])=0,0,Recommendations[[#This Row],[Include]])</f>
        <v>1</v>
      </c>
      <c r="M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14</v>
      </c>
      <c r="N10" t="s">
        <v>326</v>
      </c>
      <c r="O10">
        <v>14</v>
      </c>
      <c r="P10">
        <f>IF(ISERROR(VLOOKUP(Recommendations[[#This Row],[QA]],'3. Answer Assessment Questions'!$G$6:$H$102,2,FALSE)),0,1)</f>
        <v>1</v>
      </c>
    </row>
    <row r="11" spans="1:23" ht="14.5" customHeight="1" x14ac:dyDescent="0.35">
      <c r="A11" t="s">
        <v>97</v>
      </c>
      <c r="B11" s="1" t="str">
        <f>VLOOKUP(A11,'3. Answer Assessment Questions'!A$1:D$109,4,FALSE)</f>
        <v>Intensity or size of development</v>
      </c>
      <c r="D11" t="str">
        <f>Recommendations[[#This Row],[Question '#]]&amp;Recommendations[[#This Row],[STORMWATER MANAGEMENT QUESTIONS]]&amp;Recommendations[[#This Row],[SELECT ANSWERS]]</f>
        <v>11b)Intensity or size of development</v>
      </c>
      <c r="E11">
        <v>2</v>
      </c>
      <c r="F11">
        <v>1</v>
      </c>
      <c r="K11">
        <f>Recommendations[[#This Row],[Include1]]+Recommendations[[#This Row],[Exclude]]</f>
        <v>1</v>
      </c>
      <c r="L11">
        <f>IF(SUM(Recommendations[[#This Row],[Modern Manual]:[Sea Level Rise]])=0,0,Recommendations[[#This Row],[Include]])</f>
        <v>1</v>
      </c>
      <c r="M1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15</v>
      </c>
      <c r="N11" t="s">
        <v>327</v>
      </c>
      <c r="O11">
        <v>15</v>
      </c>
      <c r="P11">
        <f>IF(ISERROR(VLOOKUP(Recommendations[[#This Row],[QA]],'3. Answer Assessment Questions'!$G$6:$H$102,2,FALSE)),0,1)</f>
        <v>1</v>
      </c>
    </row>
    <row r="12" spans="1:23" ht="13.75" customHeight="1" x14ac:dyDescent="0.35">
      <c r="A12" t="s">
        <v>103</v>
      </c>
      <c r="B12" s="1" t="str">
        <f>VLOOKUP(A12,'3. Answer Assessment Questions'!A$1:D$109,4,FALSE)</f>
        <v>Downstream hydrology/history of flooding</v>
      </c>
      <c r="D12" t="str">
        <f>Recommendations[[#This Row],[Question '#]]&amp;Recommendations[[#This Row],[STORMWATER MANAGEMENT QUESTIONS]]&amp;Recommendations[[#This Row],[SELECT ANSWERS]]</f>
        <v>12a)Downstream hydrology/history of flooding</v>
      </c>
      <c r="E12">
        <v>2</v>
      </c>
      <c r="F12" s="10">
        <v>1</v>
      </c>
      <c r="G12" s="10">
        <v>1</v>
      </c>
      <c r="H12" s="9"/>
      <c r="I12" s="1"/>
      <c r="J12">
        <f>IF(Sea_Level_Impact="Low",0,1)</f>
        <v>1</v>
      </c>
      <c r="K12">
        <f>Recommendations[[#This Row],[Include1]]+Recommendations[[#This Row],[Exclude]]</f>
        <v>1</v>
      </c>
      <c r="L12" s="10">
        <f>IF(SUM(Recommendations[[#This Row],[Modern Manual]:[Sea Level Rise]])=0,0,Recommendations[[#This Row],[Include]])</f>
        <v>1</v>
      </c>
      <c r="M12" s="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10</v>
      </c>
      <c r="N12" s="10" t="s">
        <v>328</v>
      </c>
      <c r="O12" s="10">
        <v>10</v>
      </c>
      <c r="P12" s="10">
        <f>IF(ISERROR(VLOOKUP(Recommendations[[#This Row],[QA]],'3. Answer Assessment Questions'!$G$6:$H$102,2,FALSE)),0,1)</f>
        <v>1</v>
      </c>
      <c r="Q12" s="10"/>
    </row>
    <row r="13" spans="1:23" ht="14.5" customHeight="1" x14ac:dyDescent="0.35">
      <c r="A13" t="s">
        <v>75</v>
      </c>
      <c r="B13" s="1" t="str">
        <f>VLOOKUP(A13,'3. Answer Assessment Questions'!A$1:D$109,4,FALSE)</f>
        <v>No specific storm is identified</v>
      </c>
      <c r="C13" t="s">
        <v>283</v>
      </c>
      <c r="D13" t="str">
        <f>Recommendations[[#This Row],[Question '#]]&amp;Recommendations[[#This Row],[STORMWATER MANAGEMENT QUESTIONS]]&amp;Recommendations[[#This Row],[SELECT ANSWERS]]</f>
        <v>8a)No specific storm is identifiedYes</v>
      </c>
      <c r="E13">
        <v>2</v>
      </c>
      <c r="F13">
        <v>1</v>
      </c>
      <c r="G13" s="8"/>
      <c r="K13">
        <f>Recommendations[[#This Row],[Include1]]+Recommendations[[#This Row],[Exclude]]</f>
        <v>0</v>
      </c>
      <c r="L13">
        <f>IF(SUM(Recommendations[[#This Row],[Modern Manual]:[Sea Level Rise]])=0,0,Recommendations[[#This Row],[Include]])</f>
        <v>0</v>
      </c>
      <c r="M1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5</v>
      </c>
      <c r="N13" t="s">
        <v>329</v>
      </c>
      <c r="O13">
        <v>5</v>
      </c>
      <c r="P13">
        <f>IF(ISERROR(VLOOKUP(Recommendations[[#This Row],[QA]],'3. Answer Assessment Questions'!$G$6:$H$102,2,FALSE)),0,1)</f>
        <v>0</v>
      </c>
    </row>
    <row r="14" spans="1:23" ht="27.65" customHeight="1" x14ac:dyDescent="0.35">
      <c r="A14" t="s">
        <v>105</v>
      </c>
      <c r="B14" s="1" t="str">
        <f>VLOOKUP(A14,'3. Answer Assessment Questions'!A$1:D$109,4,FALSE)</f>
        <v>Downstream channel condition</v>
      </c>
      <c r="D14" t="str">
        <f>Recommendations[[#This Row],[Question '#]]&amp;Recommendations[[#This Row],[STORMWATER MANAGEMENT QUESTIONS]]&amp;Recommendations[[#This Row],[SELECT ANSWERS]]</f>
        <v>12b)Downstream channel condition</v>
      </c>
      <c r="E14">
        <v>2</v>
      </c>
      <c r="F14" s="10">
        <v>1</v>
      </c>
      <c r="G14" s="10">
        <v>1</v>
      </c>
      <c r="H14" s="9"/>
      <c r="I14" s="1"/>
      <c r="J14" s="10"/>
      <c r="K14">
        <f>Recommendations[[#This Row],[Include1]]+Recommendations[[#This Row],[Exclude]]</f>
        <v>1</v>
      </c>
      <c r="L14" s="10">
        <f>IF(SUM(Recommendations[[#This Row],[Modern Manual]:[Sea Level Rise]])=0,0,Recommendations[[#This Row],[Include]])</f>
        <v>1</v>
      </c>
      <c r="M14" s="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11</v>
      </c>
      <c r="N14" s="10" t="s">
        <v>330</v>
      </c>
      <c r="O14" s="10">
        <v>11</v>
      </c>
      <c r="P14" s="10">
        <f>IF(ISERROR(VLOOKUP(Recommendations[[#This Row],[QA]],'3. Answer Assessment Questions'!$G$6:$H$102,2,FALSE)),0,1)</f>
        <v>1</v>
      </c>
      <c r="Q14" s="10"/>
    </row>
    <row r="15" spans="1:23" x14ac:dyDescent="0.35">
      <c r="A15" t="s">
        <v>107</v>
      </c>
      <c r="B15" s="1" t="str">
        <f>VLOOKUP(A15,'3. Answer Assessment Questions'!A$1:D$109,4,FALSE)</f>
        <v>Capacity of infrastructure/conveyances downstream of the development site</v>
      </c>
      <c r="D15" t="str">
        <f>Recommendations[[#This Row],[Question '#]]&amp;Recommendations[[#This Row],[STORMWATER MANAGEMENT QUESTIONS]]&amp;Recommendations[[#This Row],[SELECT ANSWERS]]</f>
        <v>12c)Capacity of infrastructure/conveyances downstream of the development site</v>
      </c>
      <c r="E15">
        <v>2</v>
      </c>
      <c r="F15">
        <v>1</v>
      </c>
      <c r="G15">
        <v>1</v>
      </c>
      <c r="J15">
        <f>IF(Sea_Level_Impact="Low",0,1)</f>
        <v>1</v>
      </c>
      <c r="K15">
        <f>Recommendations[[#This Row],[Include1]]+Recommendations[[#This Row],[Exclude]]</f>
        <v>1</v>
      </c>
      <c r="L15">
        <f>IF(SUM(Recommendations[[#This Row],[Modern Manual]:[Sea Level Rise]])=0,0,Recommendations[[#This Row],[Include]])</f>
        <v>1</v>
      </c>
      <c r="M1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12</v>
      </c>
      <c r="N15" t="s">
        <v>331</v>
      </c>
      <c r="O15">
        <v>12</v>
      </c>
      <c r="P15">
        <f>IF(ISERROR(VLOOKUP(Recommendations[[#This Row],[QA]],'3. Answer Assessment Questions'!$G$6:$H$102,2,FALSE)),0,1)</f>
        <v>1</v>
      </c>
    </row>
    <row r="16" spans="1:23" x14ac:dyDescent="0.35">
      <c r="A16" t="s">
        <v>110</v>
      </c>
      <c r="B16" s="1" t="str">
        <f>VLOOKUP(A16,'3. Answer Assessment Questions'!A$1:D$109,4,FALSE)</f>
        <v>Do the standards include a list of acceptable practices to meet water quality or runoff reduction criteria?</v>
      </c>
      <c r="D16" t="str">
        <f>Recommendations[[#This Row],[Question '#]]&amp;Recommendations[[#This Row],[STORMWATER MANAGEMENT QUESTIONS]]&amp;Recommendations[[#This Row],[SELECT ANSWERS]]</f>
        <v>13)Do the standards include a list of acceptable practices to meet water quality or runoff reduction criteria?</v>
      </c>
      <c r="E16">
        <v>3</v>
      </c>
      <c r="F16">
        <v>1</v>
      </c>
      <c r="K16">
        <f>Recommendations[[#This Row],[Include1]]+Recommendations[[#This Row],[Exclude]]</f>
        <v>1</v>
      </c>
      <c r="L16">
        <f>IF(SUM(Recommendations[[#This Row],[Modern Manual]:[Sea Level Rise]])=0,0,Recommendations[[#This Row],[Include]])</f>
        <v>1</v>
      </c>
      <c r="M1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16" t="s">
        <v>332</v>
      </c>
      <c r="O16">
        <v>1</v>
      </c>
      <c r="P16">
        <f>IF(ISERROR(VLOOKUP(Recommendations[[#This Row],[QA]],'3. Answer Assessment Questions'!$G$6:$H$102,2,FALSE)),0,1)</f>
        <v>1</v>
      </c>
    </row>
    <row r="17" spans="1:23" ht="27.65" customHeight="1" x14ac:dyDescent="0.35">
      <c r="A17" t="s">
        <v>112</v>
      </c>
      <c r="B17" s="1" t="str">
        <f>VLOOKUP(A17,'3. Answer Assessment Questions'!A$1:D$109,4,FALSE)</f>
        <v>Do standards promote or require designers to consider site design features that minimize impervious cover and protect critical natural areas (Low Impact Development, Environmental Site Design or Better Site Design).</v>
      </c>
      <c r="D17" t="str">
        <f>Recommendations[[#This Row],[Question '#]]&amp;Recommendations[[#This Row],[STORMWATER MANAGEMENT QUESTIONS]]&amp;Recommendations[[#This Row],[SELECT ANSWERS]]</f>
        <v>14)Do standards promote or require designers to consider site design features that minimize impervious cover and protect critical natural areas (Low Impact Development, Environmental Site Design or Better Site Design).</v>
      </c>
      <c r="E17">
        <v>3</v>
      </c>
      <c r="F17">
        <v>1</v>
      </c>
      <c r="G17">
        <v>1</v>
      </c>
      <c r="I17">
        <v>1</v>
      </c>
      <c r="J17">
        <f>IF(Sea_Level_Impact="Low",0,1)</f>
        <v>1</v>
      </c>
      <c r="K17">
        <f>Recommendations[[#This Row],[Include1]]+Recommendations[[#This Row],[Exclude]]</f>
        <v>1</v>
      </c>
      <c r="L17">
        <f>IF(SUM(Recommendations[[#This Row],[Modern Manual]:[Sea Level Rise]])=0,0,Recommendations[[#This Row],[Include]])</f>
        <v>1</v>
      </c>
      <c r="M1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2</v>
      </c>
      <c r="N17" t="s">
        <v>333</v>
      </c>
      <c r="O17">
        <v>2</v>
      </c>
      <c r="P17">
        <f>IF(ISERROR(VLOOKUP(Recommendations[[#This Row],[QA]],'3. Answer Assessment Questions'!$G$6:$H$102,2,FALSE)),0,1)</f>
        <v>1</v>
      </c>
    </row>
    <row r="18" spans="1:23" ht="39" customHeight="1" x14ac:dyDescent="0.35">
      <c r="A18" t="s">
        <v>114</v>
      </c>
      <c r="B18" s="1" t="str">
        <f>VLOOKUP(A18,'3. Answer Assessment Questions'!A$1:D$109,4,FALSE)</f>
        <v xml:space="preserve">Do they explicitly prohibit practices that consume water (i.e. practices with a permanent pool of water or that may rely on irrigation)?  </v>
      </c>
      <c r="D18" t="str">
        <f>Recommendations[[#This Row],[Question '#]]&amp;Recommendations[[#This Row],[STORMWATER MANAGEMENT QUESTIONS]]&amp;Recommendations[[#This Row],[SELECT ANSWERS]]</f>
        <v xml:space="preserve">15)Do they explicitly prohibit practices that consume water (i.e. practices with a permanent pool of water or that may rely on irrigation)?  </v>
      </c>
      <c r="E18">
        <v>3</v>
      </c>
      <c r="H18">
        <v>1</v>
      </c>
      <c r="K18">
        <f>Recommendations[[#This Row],[Include1]]+Recommendations[[#This Row],[Exclude]]</f>
        <v>1</v>
      </c>
      <c r="L18">
        <f>IF(SUM(Recommendations[[#This Row],[Modern Manual]:[Sea Level Rise]])=0,0,Recommendations[[#This Row],[Include]])</f>
        <v>1</v>
      </c>
      <c r="M1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99006</v>
      </c>
      <c r="N18" t="s">
        <v>334</v>
      </c>
      <c r="O18">
        <v>6</v>
      </c>
      <c r="P18">
        <f>IF(ISERROR(VLOOKUP(Recommendations[[#This Row],[QA]],'3. Answer Assessment Questions'!$G$6:$H$102,2,FALSE)),0,1)</f>
        <v>1</v>
      </c>
      <c r="Q18" s="10">
        <f>IF(Drought_Impact="Low",-1,0)</f>
        <v>0</v>
      </c>
    </row>
    <row r="19" spans="1:23" ht="29" x14ac:dyDescent="0.35">
      <c r="A19" t="s">
        <v>116</v>
      </c>
      <c r="B19" s="1" t="str">
        <f>VLOOKUP(A19,'3. Answer Assessment Questions'!A$1:D$109,4,FALSE)</f>
        <v>Do standards  incorporate any method to encourage the use of Green Infrastructure (GI) practices such as a hierarchy or a runoff reduction target that cannot be met without GI?</v>
      </c>
      <c r="D19" t="str">
        <f>Recommendations[[#This Row],[Question '#]]&amp;Recommendations[[#This Row],[STORMWATER MANAGEMENT QUESTIONS]]&amp;Recommendations[[#This Row],[SELECT ANSWERS]]</f>
        <v>16)Do standards  incorporate any method to encourage the use of Green Infrastructure (GI) practices such as a hierarchy or a runoff reduction target that cannot be met without GI?</v>
      </c>
      <c r="E19">
        <v>3</v>
      </c>
      <c r="F19" s="16">
        <v>1</v>
      </c>
      <c r="G19" s="16">
        <v>1</v>
      </c>
      <c r="H19" s="16"/>
      <c r="I19">
        <v>1</v>
      </c>
      <c r="J19">
        <f>IF(Sea_Level_Impact="Low",0,1)</f>
        <v>1</v>
      </c>
      <c r="K19">
        <f>Recommendations[[#This Row],[Include1]]+Recommendations[[#This Row],[Exclude]]</f>
        <v>1</v>
      </c>
      <c r="L19">
        <f>IF(SUM(Recommendations[[#This Row],[Modern Manual]:[Sea Level Rise]])=0,0,Recommendations[[#This Row],[Include]])</f>
        <v>1</v>
      </c>
      <c r="M1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3</v>
      </c>
      <c r="N19" t="s">
        <v>335</v>
      </c>
      <c r="O19">
        <v>3</v>
      </c>
      <c r="P19">
        <f>IF(ISERROR(VLOOKUP(Recommendations[[#This Row],[QA]],'3. Answer Assessment Questions'!$G$6:$H$102,2,FALSE)),0,1)</f>
        <v>1</v>
      </c>
    </row>
    <row r="20" spans="1:23" ht="13.75" customHeight="1" x14ac:dyDescent="0.35">
      <c r="A20" t="s">
        <v>118</v>
      </c>
      <c r="B20" s="1" t="str">
        <f>VLOOKUP(A20,'3. Answer Assessment Questions'!A$1:D$109,4,FALSE)</f>
        <v>Do standards promote natural areas conservation (methods may include explicit vegetation targets, credits applied for natural areas conservation, or identifying specific areas that are off limits)?</v>
      </c>
      <c r="D20" t="str">
        <f>Recommendations[[#This Row],[Question '#]]&amp;Recommendations[[#This Row],[STORMWATER MANAGEMENT QUESTIONS]]&amp;Recommendations[[#This Row],[SELECT ANSWERS]]</f>
        <v>17)Do standards promote natural areas conservation (methods may include explicit vegetation targets, credits applied for natural areas conservation, or identifying specific areas that are off limits)?</v>
      </c>
      <c r="E20">
        <v>3</v>
      </c>
      <c r="F20" s="16">
        <v>1</v>
      </c>
      <c r="G20" s="16">
        <v>1</v>
      </c>
      <c r="H20" s="73"/>
      <c r="I20">
        <v>1</v>
      </c>
      <c r="J20">
        <f>IF(Sea_Level_Impact="Low",0,1)</f>
        <v>1</v>
      </c>
      <c r="K20">
        <f>Recommendations[[#This Row],[Include1]]+Recommendations[[#This Row],[Exclude]]</f>
        <v>1</v>
      </c>
      <c r="L20" s="67">
        <f>IF(SUM(Recommendations[[#This Row],[Modern Manual]:[Sea Level Rise]])=0,0,Recommendations[[#This Row],[Include]])</f>
        <v>1</v>
      </c>
      <c r="M20" s="6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2</v>
      </c>
      <c r="N20" t="s">
        <v>333</v>
      </c>
      <c r="O20" s="67">
        <v>2</v>
      </c>
      <c r="P20">
        <f>IF(ISERROR(VLOOKUP(Recommendations[[#This Row],[QA]],'3. Answer Assessment Questions'!$G$6:$H$102,2,FALSE)),0,1)</f>
        <v>1</v>
      </c>
    </row>
    <row r="21" spans="1:23" x14ac:dyDescent="0.35">
      <c r="A21" t="s">
        <v>120</v>
      </c>
      <c r="B21" s="1" t="str">
        <f>VLOOKUP(A21,'3. Answer Assessment Questions'!A$1:D$109,4,FALSE)</f>
        <v>Is there a specific credit such as a reduction in required volume applied for planting or preserving trees?</v>
      </c>
      <c r="D21" t="str">
        <f>Recommendations[[#This Row],[Question '#]]&amp;Recommendations[[#This Row],[STORMWATER MANAGEMENT QUESTIONS]]&amp;Recommendations[[#This Row],[SELECT ANSWERS]]</f>
        <v>18)Is there a specific credit such as a reduction in required volume applied for planting or preserving trees?</v>
      </c>
      <c r="E21">
        <v>3</v>
      </c>
      <c r="F21" s="16">
        <v>1</v>
      </c>
      <c r="G21" s="16">
        <v>1</v>
      </c>
      <c r="H21" s="16"/>
      <c r="I21">
        <v>1</v>
      </c>
      <c r="K21">
        <f>Recommendations[[#This Row],[Include1]]+Recommendations[[#This Row],[Exclude]]</f>
        <v>1</v>
      </c>
      <c r="L21">
        <f>IF(SUM(Recommendations[[#This Row],[Modern Manual]:[Sea Level Rise]])=0,0,Recommendations[[#This Row],[Include]])</f>
        <v>1</v>
      </c>
      <c r="M2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4</v>
      </c>
      <c r="N21" t="s">
        <v>336</v>
      </c>
      <c r="O21">
        <v>4</v>
      </c>
      <c r="P21">
        <f>IF(ISERROR(VLOOKUP(Recommendations[[#This Row],[QA]],'3. Answer Assessment Questions'!$G$6:$H$102,2,FALSE)),0,1)</f>
        <v>1</v>
      </c>
    </row>
    <row r="22" spans="1:23" ht="158.5" customHeight="1" x14ac:dyDescent="0.35">
      <c r="A22" t="s">
        <v>99</v>
      </c>
      <c r="B22" s="1" t="str">
        <f>VLOOKUP(A22,'3. Answer Assessment Questions'!A$1:D$109,4,FALSE)</f>
        <v>Coastal vs non-coastal</v>
      </c>
      <c r="D22" t="str">
        <f>Recommendations[[#This Row],[Question '#]]&amp;Recommendations[[#This Row],[STORMWATER MANAGEMENT QUESTIONS]]&amp;Recommendations[[#This Row],[SELECT ANSWERS]]</f>
        <v>11c)Coastal vs non-coastal</v>
      </c>
      <c r="E22">
        <v>2</v>
      </c>
      <c r="F22" s="72">
        <v>1</v>
      </c>
      <c r="G22" s="21"/>
      <c r="H22" s="9"/>
      <c r="I22" s="1"/>
      <c r="J22">
        <f>IF(Sea_Level_Impact="Low",0,1)</f>
        <v>1</v>
      </c>
      <c r="K22">
        <f>Recommendations[[#This Row],[Include1]]+Recommendations[[#This Row],[Exclude]]</f>
        <v>1</v>
      </c>
      <c r="L22" s="10">
        <f>IF(SUM(Recommendations[[#This Row],[Modern Manual]:[Sea Level Rise]])=0,0,Recommendations[[#This Row],[Include]])</f>
        <v>1</v>
      </c>
      <c r="M22" s="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19</v>
      </c>
      <c r="N22" s="10" t="s">
        <v>337</v>
      </c>
      <c r="O22" s="10">
        <v>19</v>
      </c>
      <c r="P22" s="10">
        <f>IF(ISERROR(VLOOKUP(Recommendations[[#This Row],[QA]],'3. Answer Assessment Questions'!$G$6:$H$102,2,FALSE)),0,1)</f>
        <v>1</v>
      </c>
      <c r="Q22" s="10">
        <f>IF(Sea_Level_Impact="Low",-1,0)</f>
        <v>0</v>
      </c>
    </row>
    <row r="23" spans="1:23" ht="158.5" customHeight="1" x14ac:dyDescent="0.35">
      <c r="A23" t="s">
        <v>49</v>
      </c>
      <c r="B23" s="1" t="str">
        <f>VLOOKUP(A23,'3. Answer Assessment Questions'!A$1:D$109,4,FALSE)</f>
        <v>What is the source of data for water quantity (e.g., flood or channel protection) storms?</v>
      </c>
      <c r="C23" t="s">
        <v>324</v>
      </c>
      <c r="D23" t="str">
        <f>Recommendations[[#This Row],[Question '#]]&amp;Recommendations[[#This Row],[STORMWATER MANAGEMENT QUESTIONS]]&amp;Recommendations[[#This Row],[SELECT ANSWERS]]</f>
        <v>3)What is the source of data for water quantity (e.g., flood or channel protection) storms?TP 40 (pre-Atlas 14)</v>
      </c>
      <c r="E23">
        <v>2</v>
      </c>
      <c r="G23" s="16">
        <v>1</v>
      </c>
      <c r="K23">
        <f>Recommendations[[#This Row],[Include1]]+Recommendations[[#This Row],[Exclude]]</f>
        <v>0</v>
      </c>
      <c r="L23">
        <f>IF(SUM(Recommendations[[#This Row],[Modern Manual]:[Sea Level Rise]])=0,0,Recommendations[[#This Row],[Include]])</f>
        <v>0</v>
      </c>
      <c r="M2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90006</v>
      </c>
      <c r="N23" t="s">
        <v>338</v>
      </c>
      <c r="O23">
        <v>6</v>
      </c>
      <c r="P23">
        <f>IF(ISERROR(VLOOKUP(Recommendations[[#This Row],[QA]],'3. Answer Assessment Questions'!$G$6:$H$102,2,FALSE)),0,1)</f>
        <v>0</v>
      </c>
    </row>
    <row r="24" spans="1:23" x14ac:dyDescent="0.35">
      <c r="A24" t="s">
        <v>49</v>
      </c>
      <c r="B24" s="1" t="str">
        <f>VLOOKUP(A24,'3. Answer Assessment Questions'!A$1:D$109,4,FALSE)</f>
        <v>What is the source of data for water quantity (e.g., flood or channel protection) storms?</v>
      </c>
      <c r="C24" t="s">
        <v>287</v>
      </c>
      <c r="D24" t="str">
        <f>Recommendations[[#This Row],[Question '#]]&amp;Recommendations[[#This Row],[STORMWATER MANAGEMENT QUESTIONS]]&amp;Recommendations[[#This Row],[SELECT ANSWERS]]</f>
        <v>3)What is the source of data for water quantity (e.g., flood or channel protection) storms?Unknown or not Identified</v>
      </c>
      <c r="E24">
        <v>2</v>
      </c>
      <c r="F24" s="16"/>
      <c r="G24" s="16">
        <v>1</v>
      </c>
      <c r="K24">
        <f>Recommendations[[#This Row],[Include1]]+Recommendations[[#This Row],[Exclude]]</f>
        <v>0</v>
      </c>
      <c r="L24">
        <f>IF(SUM(Recommendations[[#This Row],[Modern Manual]:[Sea Level Rise]])=0,0,Recommendations[[#This Row],[Include]])</f>
        <v>0</v>
      </c>
      <c r="M2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90006</v>
      </c>
      <c r="N24" t="s">
        <v>338</v>
      </c>
      <c r="O24">
        <v>6</v>
      </c>
      <c r="P24">
        <f>IF(ISERROR(VLOOKUP(Recommendations[[#This Row],[QA]],'3. Answer Assessment Questions'!$G$6:$H$102,2,FALSE)),0,1)</f>
        <v>0</v>
      </c>
    </row>
    <row r="25" spans="1:23" ht="27.65" customHeight="1" x14ac:dyDescent="0.35">
      <c r="A25" t="s">
        <v>49</v>
      </c>
      <c r="B25" s="1" t="str">
        <f>VLOOKUP(A25,'3. Answer Assessment Questions'!A$1:D$109,4,FALSE)</f>
        <v>What is the source of data for water quantity (e.g., flood or channel protection) storms?</v>
      </c>
      <c r="C25" t="s">
        <v>284</v>
      </c>
      <c r="D25" t="str">
        <f>Recommendations[[#This Row],[Question '#]]&amp;Recommendations[[#This Row],[STORMWATER MANAGEMENT QUESTIONS]]&amp;Recommendations[[#This Row],[SELECT ANSWERS]]</f>
        <v>3)What is the source of data for water quantity (e.g., flood or channel protection) storms?Atlas 14</v>
      </c>
      <c r="E25">
        <v>2</v>
      </c>
      <c r="F25" s="16"/>
      <c r="G25">
        <v>1</v>
      </c>
      <c r="K25">
        <f>Recommendations[[#This Row],[Include1]]+Recommendations[[#This Row],[Exclude]]</f>
        <v>0</v>
      </c>
      <c r="L25">
        <f>IF(SUM(Recommendations[[#This Row],[Modern Manual]:[Sea Level Rise]])=0,0,Recommendations[[#This Row],[Include]])</f>
        <v>0</v>
      </c>
      <c r="M2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90006</v>
      </c>
      <c r="N25" t="s">
        <v>338</v>
      </c>
      <c r="O25">
        <v>6</v>
      </c>
      <c r="P25">
        <f>IF(ISERROR(VLOOKUP(Recommendations[[#This Row],[QA]],'3. Answer Assessment Questions'!$G$6:$H$102,2,FALSE)),0,1)</f>
        <v>0</v>
      </c>
    </row>
    <row r="26" spans="1:23" ht="28.4" customHeight="1" x14ac:dyDescent="0.35">
      <c r="A26" t="s">
        <v>126</v>
      </c>
      <c r="B26" s="1" t="str">
        <f>VLOOKUP(A26,'3. Answer Assessment Questions'!A$1:D$109,4,FALSE)</f>
        <v>Changing floodplains</v>
      </c>
      <c r="D26" t="str">
        <f>Recommendations[[#This Row],[Question '#]]&amp;Recommendations[[#This Row],[STORMWATER MANAGEMENT QUESTIONS]]&amp;Recommendations[[#This Row],[SELECT ANSWERS]]</f>
        <v>19b)Changing floodplains</v>
      </c>
      <c r="E26">
        <v>3</v>
      </c>
      <c r="G26" s="71">
        <v>1</v>
      </c>
      <c r="H26" s="75"/>
      <c r="J26">
        <f>IF(Sea_Level_Impact="Low",0,1)</f>
        <v>1</v>
      </c>
      <c r="K26">
        <f>Recommendations[[#This Row],[Include1]]+Recommendations[[#This Row],[Exclude]]</f>
        <v>1</v>
      </c>
      <c r="L26" s="5">
        <f>IF(SUM(Recommendations[[#This Row],[Modern Manual]:[Sea Level Rise]])=0,0,Recommendations[[#This Row],[Include]])</f>
        <v>1</v>
      </c>
      <c r="M26" s="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90006</v>
      </c>
      <c r="N26" s="5" t="s">
        <v>339</v>
      </c>
      <c r="O26" s="5">
        <v>6</v>
      </c>
      <c r="P26" s="5">
        <f>IF(ISERROR(VLOOKUP(Recommendations[[#This Row],[QA]],'3. Answer Assessment Questions'!$G$6:$H$102,2,FALSE)),0,1)</f>
        <v>1</v>
      </c>
      <c r="Q26" s="5"/>
    </row>
    <row r="27" spans="1:23" x14ac:dyDescent="0.35">
      <c r="A27" t="s">
        <v>53</v>
      </c>
      <c r="B27" s="1" t="str">
        <f>VLOOKUP(A27,'3. Answer Assessment Questions'!A$1:D$109,4,FALSE)</f>
        <v>What is the objective of water quantity sizing?</v>
      </c>
      <c r="C27" t="s">
        <v>288</v>
      </c>
      <c r="D27" t="str">
        <f>Recommendations[[#This Row],[Question '#]]&amp;Recommendations[[#This Row],[STORMWATER MANAGEMENT QUESTIONS]]&amp;Recommendations[[#This Row],[SELECT ANSWERS]]</f>
        <v>5)What is the objective of water quantity sizing?Match Post-Developed to Pre-Developed conditions</v>
      </c>
      <c r="E27">
        <v>2</v>
      </c>
      <c r="G27">
        <v>1</v>
      </c>
      <c r="K27">
        <f>Recommendations[[#This Row],[Include1]]+Recommendations[[#This Row],[Exclude]]</f>
        <v>0</v>
      </c>
      <c r="L27">
        <f>IF(SUM(Recommendations[[#This Row],[Modern Manual]:[Sea Level Rise]])=0,0,Recommendations[[#This Row],[Include]])</f>
        <v>0</v>
      </c>
      <c r="M2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90008</v>
      </c>
      <c r="N27" t="s">
        <v>340</v>
      </c>
      <c r="O27">
        <v>8</v>
      </c>
      <c r="P27">
        <f>IF(ISERROR(VLOOKUP(Recommendations[[#This Row],[QA]],'3. Answer Assessment Questions'!$G$6:$H$102,2,FALSE)),0,1)</f>
        <v>0</v>
      </c>
    </row>
    <row r="28" spans="1:23" ht="14.5" customHeight="1" x14ac:dyDescent="0.35">
      <c r="A28" t="s">
        <v>128</v>
      </c>
      <c r="B28" s="1" t="str">
        <f>VLOOKUP(A28,'3. Answer Assessment Questions'!A$1:D$109,4,FALSE)</f>
        <v>Providing additional "right of way" for practices during large or extreme storms</v>
      </c>
      <c r="D28" t="str">
        <f>Recommendations[[#This Row],[Question '#]]&amp;Recommendations[[#This Row],[STORMWATER MANAGEMENT QUESTIONS]]&amp;Recommendations[[#This Row],[SELECT ANSWERS]]</f>
        <v>19c)Providing additional "right of way" for practices during large or extreme storms</v>
      </c>
      <c r="E28">
        <v>3</v>
      </c>
      <c r="G28" s="24">
        <v>1</v>
      </c>
      <c r="H28" s="75"/>
      <c r="J28" s="5"/>
      <c r="K28">
        <f>Recommendations[[#This Row],[Include1]]+Recommendations[[#This Row],[Exclude]]</f>
        <v>1</v>
      </c>
      <c r="L28" s="5">
        <f>IF(SUM(Recommendations[[#This Row],[Modern Manual]:[Sea Level Rise]])=0,0,Recommendations[[#This Row],[Include]])</f>
        <v>1</v>
      </c>
      <c r="M28" s="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90005</v>
      </c>
      <c r="N28" s="5" t="s">
        <v>341</v>
      </c>
      <c r="O28" s="5">
        <v>5</v>
      </c>
      <c r="P28" s="5">
        <f>IF(ISERROR(VLOOKUP(Recommendations[[#This Row],[QA]],'3. Answer Assessment Questions'!$G$6:$H$102,2,FALSE)),0,1)</f>
        <v>1</v>
      </c>
      <c r="Q28" s="5"/>
    </row>
    <row r="29" spans="1:23" x14ac:dyDescent="0.35">
      <c r="A29" t="s">
        <v>77</v>
      </c>
      <c r="B29" s="1" t="str">
        <f>VLOOKUP(A29,'3. Answer Assessment Questions'!A$1:D$109,4,FALSE)</f>
        <v>90th percentile storm (often about 1")</v>
      </c>
      <c r="C29" t="s">
        <v>283</v>
      </c>
      <c r="D29" t="str">
        <f>Recommendations[[#This Row],[Question '#]]&amp;Recommendations[[#This Row],[STORMWATER MANAGEMENT QUESTIONS]]&amp;Recommendations[[#This Row],[SELECT ANSWERS]]</f>
        <v>8b)90th percentile storm (often about 1")Yes</v>
      </c>
      <c r="E29">
        <v>2</v>
      </c>
      <c r="F29" s="1"/>
      <c r="G29" s="8">
        <v>1</v>
      </c>
      <c r="K29">
        <f>Recommendations[[#This Row],[Include1]]+Recommendations[[#This Row],[Exclude]]</f>
        <v>0</v>
      </c>
      <c r="L29">
        <f>IF(SUM(Recommendations[[#This Row],[Modern Manual]:[Sea Level Rise]])=0,0,Recommendations[[#This Row],[Include]])</f>
        <v>0</v>
      </c>
      <c r="M2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90016</v>
      </c>
      <c r="N29" t="s">
        <v>342</v>
      </c>
      <c r="O29">
        <v>16</v>
      </c>
      <c r="P29">
        <f>IF(ISERROR(VLOOKUP(Recommendations[[#This Row],[QA]],'3. Answer Assessment Questions'!$G$6:$H$102,2,FALSE)),0,1)</f>
        <v>0</v>
      </c>
      <c r="R29" t="s">
        <v>283</v>
      </c>
      <c r="S29">
        <v>1</v>
      </c>
      <c r="T29">
        <v>0</v>
      </c>
      <c r="U29">
        <v>0</v>
      </c>
      <c r="V29">
        <v>0</v>
      </c>
      <c r="W29">
        <v>0</v>
      </c>
    </row>
    <row r="30" spans="1:23" ht="27.65" customHeight="1" x14ac:dyDescent="0.35">
      <c r="A30" t="s">
        <v>42</v>
      </c>
      <c r="B30" s="1" t="str">
        <f>VLOOKUP(A30,'3. Answer Assessment Questions'!A$1:D$109,4,FALSE)</f>
        <v>Do the standards include a climate change section or mention of the effects of climate change on stormwater management?</v>
      </c>
      <c r="D30" t="str">
        <f>Recommendations[[#This Row],[Question '#]]&amp;Recommendations[[#This Row],[STORMWATER MANAGEMENT QUESTIONS]]&amp;Recommendations[[#This Row],[SELECT ANSWERS]]</f>
        <v>2)Do the standards include a climate change section or mention of the effects of climate change on stormwater management?</v>
      </c>
      <c r="E30">
        <v>1</v>
      </c>
      <c r="G30" s="16">
        <v>1</v>
      </c>
      <c r="H30" s="16">
        <v>1</v>
      </c>
      <c r="I30" s="16">
        <v>1</v>
      </c>
      <c r="J30" s="19">
        <f>IF(Sea_Level_Impact="Low",0,1)</f>
        <v>1</v>
      </c>
      <c r="K30">
        <f>Recommendations[[#This Row],[Include1]]+Recommendations[[#This Row],[Exclude]]</f>
        <v>1</v>
      </c>
      <c r="L30" s="19">
        <f>IF(SUM(Recommendations[[#This Row],[Modern Manual]:[Sea Level Rise]])=0,0,Recommendations[[#This Row],[Include]])</f>
        <v>1</v>
      </c>
      <c r="M3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90002</v>
      </c>
      <c r="N30" t="s">
        <v>343</v>
      </c>
      <c r="O30">
        <v>2</v>
      </c>
      <c r="P30" s="19">
        <f>IF(ISERROR(VLOOKUP(Recommendations[[#This Row],[QA]],'3. Answer Assessment Questions'!$G$6:$H$102,2,FALSE)),0,1)</f>
        <v>1</v>
      </c>
      <c r="Q30" s="19"/>
    </row>
    <row r="31" spans="1:23" x14ac:dyDescent="0.35">
      <c r="A31" t="s">
        <v>141</v>
      </c>
      <c r="B31" s="1" t="str">
        <f>VLOOKUP(A31,'3. Answer Assessment Questions'!A$1:D$109,4,FALSE)</f>
        <v>Detention storage provided at the practice inlet to reduce peak discharge</v>
      </c>
      <c r="D31" t="str">
        <f>Recommendations[[#This Row],[Question '#]]&amp;Recommendations[[#This Row],[STORMWATER MANAGEMENT QUESTIONS]]&amp;Recommendations[[#This Row],[SELECT ANSWERS]]</f>
        <v>22a)Detention storage provided at the practice inlet to reduce peak discharge</v>
      </c>
      <c r="E31">
        <v>4</v>
      </c>
      <c r="F31">
        <v>1</v>
      </c>
      <c r="G31">
        <v>1</v>
      </c>
      <c r="H31" s="16"/>
      <c r="I31" s="16"/>
      <c r="J31" s="19"/>
      <c r="K31">
        <f>Recommendations[[#This Row],[Include1]]+Recommendations[[#This Row],[Exclude]]</f>
        <v>1</v>
      </c>
      <c r="L31" s="19">
        <f>IF(SUM(Recommendations[[#This Row],[Modern Manual]:[Sea Level Rise]])=0,0,Recommendations[[#This Row],[Include]])</f>
        <v>1</v>
      </c>
      <c r="M3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5</v>
      </c>
      <c r="N31" t="s">
        <v>344</v>
      </c>
      <c r="O31">
        <v>5</v>
      </c>
      <c r="P31" s="19">
        <f>IF(ISERROR(VLOOKUP(Recommendations[[#This Row],[QA]],'3. Answer Assessment Questions'!$G$6:$H$102,2,FALSE)),0,1)</f>
        <v>1</v>
      </c>
      <c r="Q31" s="19"/>
    </row>
    <row r="32" spans="1:23" ht="60.65" customHeight="1" x14ac:dyDescent="0.35">
      <c r="A32" t="s">
        <v>143</v>
      </c>
      <c r="B32" s="1" t="str">
        <f>VLOOKUP(A32,'3. Answer Assessment Questions'!A$1:D$109,4,FALSE)</f>
        <v>Practices designed off-line by using flow-diversion practices</v>
      </c>
      <c r="D32" t="str">
        <f>Recommendations[[#This Row],[Question '#]]&amp;Recommendations[[#This Row],[STORMWATER MANAGEMENT QUESTIONS]]&amp;Recommendations[[#This Row],[SELECT ANSWERS]]</f>
        <v>22b)Practices designed off-line by using flow-diversion practices</v>
      </c>
      <c r="E32">
        <v>4</v>
      </c>
      <c r="F32">
        <v>1</v>
      </c>
      <c r="G32">
        <v>1</v>
      </c>
      <c r="H32" s="16"/>
      <c r="I32" s="16"/>
      <c r="K32">
        <f>Recommendations[[#This Row],[Include1]]+Recommendations[[#This Row],[Exclude]]</f>
        <v>1</v>
      </c>
      <c r="L32" s="19">
        <f>IF(SUM(Recommendations[[#This Row],[Modern Manual]:[Sea Level Rise]])=0,0,Recommendations[[#This Row],[Include]])</f>
        <v>1</v>
      </c>
      <c r="M32">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5</v>
      </c>
      <c r="N32" t="s">
        <v>344</v>
      </c>
      <c r="O32">
        <v>5</v>
      </c>
      <c r="P32" s="19">
        <f>IF(ISERROR(VLOOKUP(Recommendations[[#This Row],[QA]],'3. Answer Assessment Questions'!$G$6:$H$102,2,FALSE)),0,1)</f>
        <v>1</v>
      </c>
      <c r="Q32" s="19"/>
    </row>
    <row r="33" spans="1:17" ht="13.75" customHeight="1" x14ac:dyDescent="0.35">
      <c r="A33" t="s">
        <v>145</v>
      </c>
      <c r="B33" s="1" t="str">
        <f>VLOOKUP(A33,'3. Answer Assessment Questions'!A$1:D$109,4,FALSE)</f>
        <v>Prescribe non-erosive conveyance of a specific design storm</v>
      </c>
      <c r="D33" t="str">
        <f>Recommendations[[#This Row],[Question '#]]&amp;Recommendations[[#This Row],[STORMWATER MANAGEMENT QUESTIONS]]&amp;Recommendations[[#This Row],[SELECT ANSWERS]]</f>
        <v>22c)Prescribe non-erosive conveyance of a specific design storm</v>
      </c>
      <c r="E33">
        <v>4</v>
      </c>
      <c r="F33">
        <v>1</v>
      </c>
      <c r="G33" s="4">
        <v>1</v>
      </c>
      <c r="K33">
        <f>Recommendations[[#This Row],[Include1]]+Recommendations[[#This Row],[Exclude]]</f>
        <v>1</v>
      </c>
      <c r="L33">
        <f>IF(SUM(Recommendations[[#This Row],[Modern Manual]:[Sea Level Rise]])=0,0,Recommendations[[#This Row],[Include]])</f>
        <v>1</v>
      </c>
      <c r="M3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5</v>
      </c>
      <c r="N33" t="s">
        <v>344</v>
      </c>
      <c r="O33">
        <v>5</v>
      </c>
      <c r="P33">
        <f>IF(ISERROR(VLOOKUP(Recommendations[[#This Row],[QA]],'3. Answer Assessment Questions'!$G$6:$H$102,2,FALSE)),0,1)</f>
        <v>1</v>
      </c>
    </row>
    <row r="34" spans="1:17" ht="27.65" customHeight="1" x14ac:dyDescent="0.35">
      <c r="A34" t="s">
        <v>147</v>
      </c>
      <c r="B34" s="1" t="str">
        <f>VLOOKUP(A34,'3. Answer Assessment Questions'!A$1:D$109,4,FALSE)</f>
        <v>Design ensures that the inlet and practice has the capacity to convey intense storm events</v>
      </c>
      <c r="D34" t="str">
        <f>Recommendations[[#This Row],[Question '#]]&amp;Recommendations[[#This Row],[STORMWATER MANAGEMENT QUESTIONS]]&amp;Recommendations[[#This Row],[SELECT ANSWERS]]</f>
        <v>22d)Design ensures that the inlet and practice has the capacity to convey intense storm events</v>
      </c>
      <c r="E34">
        <v>4</v>
      </c>
      <c r="F34">
        <v>1</v>
      </c>
      <c r="G34">
        <v>1</v>
      </c>
      <c r="K34">
        <f>Recommendations[[#This Row],[Include1]]+Recommendations[[#This Row],[Exclude]]</f>
        <v>1</v>
      </c>
      <c r="L34">
        <f>IF(SUM(Recommendations[[#This Row],[Modern Manual]:[Sea Level Rise]])=0,0,Recommendations[[#This Row],[Include]])</f>
        <v>1</v>
      </c>
      <c r="M3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5</v>
      </c>
      <c r="N34" t="s">
        <v>344</v>
      </c>
      <c r="O34">
        <v>5</v>
      </c>
      <c r="P34">
        <f>IF(ISERROR(VLOOKUP(Recommendations[[#This Row],[QA]],'3. Answer Assessment Questions'!$G$6:$H$102,2,FALSE)),0,1)</f>
        <v>1</v>
      </c>
    </row>
    <row r="35" spans="1:17" x14ac:dyDescent="0.35">
      <c r="A35" t="s">
        <v>149</v>
      </c>
      <c r="B35" s="1" t="str">
        <f>VLOOKUP(A35,'3. Answer Assessment Questions'!A$1:D$109,4,FALSE)</f>
        <v xml:space="preserve">Do the standards require pretreatment? </v>
      </c>
      <c r="D35" t="str">
        <f>Recommendations[[#This Row],[Question '#]]&amp;Recommendations[[#This Row],[STORMWATER MANAGEMENT QUESTIONS]]&amp;Recommendations[[#This Row],[SELECT ANSWERS]]</f>
        <v xml:space="preserve">23)Do the standards require pretreatment? </v>
      </c>
      <c r="E35">
        <v>4</v>
      </c>
      <c r="F35">
        <v>1</v>
      </c>
      <c r="G35">
        <v>1</v>
      </c>
      <c r="H35" s="16">
        <v>1</v>
      </c>
      <c r="K35">
        <f>Recommendations[[#This Row],[Include1]]+Recommendations[[#This Row],[Exclude]]</f>
        <v>1</v>
      </c>
      <c r="L35" s="19">
        <f>IF(SUM(Recommendations[[#This Row],[Modern Manual]:[Sea Level Rise]])=0,0,Recommendations[[#This Row],[Include]])</f>
        <v>1</v>
      </c>
      <c r="M3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35" t="s">
        <v>345</v>
      </c>
      <c r="O35">
        <v>1</v>
      </c>
      <c r="P35">
        <f>IF(ISERROR(VLOOKUP(Recommendations[[#This Row],[QA]],'3. Answer Assessment Questions'!$G$6:$H$102,2,FALSE)),0,1)</f>
        <v>1</v>
      </c>
    </row>
    <row r="36" spans="1:17" x14ac:dyDescent="0.35">
      <c r="A36" t="s">
        <v>157</v>
      </c>
      <c r="B36" s="1" t="str">
        <f>VLOOKUP(A36,'3. Answer Assessment Questions'!A$1:D$109,4,FALSE)</f>
        <v>Check valves to prevent backups in outlet pipes</v>
      </c>
      <c r="D36" t="str">
        <f>Recommendations[[#This Row],[Question '#]]&amp;Recommendations[[#This Row],[STORMWATER MANAGEMENT QUESTIONS]]&amp;Recommendations[[#This Row],[SELECT ANSWERS]]</f>
        <v>25b)Check valves to prevent backups in outlet pipes</v>
      </c>
      <c r="E36">
        <v>4</v>
      </c>
      <c r="J36">
        <f>IF(Sea_Level_Impact="Low",0,1)</f>
        <v>1</v>
      </c>
      <c r="K36">
        <f>Recommendations[[#This Row],[Include1]]+Recommendations[[#This Row],[Exclude]]</f>
        <v>1</v>
      </c>
      <c r="L36">
        <f>IF(SUM(Recommendations[[#This Row],[Modern Manual]:[Sea Level Rise]])=0,0,Recommendations[[#This Row],[Include]])</f>
        <v>1</v>
      </c>
      <c r="M3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99913</v>
      </c>
      <c r="N36" t="s">
        <v>346</v>
      </c>
      <c r="O36">
        <v>13</v>
      </c>
      <c r="P36">
        <f>IF(ISERROR(VLOOKUP(Recommendations[[#This Row],[QA]],'3. Answer Assessment Questions'!$G$6:$H$102,2,FALSE)),0,1)</f>
        <v>1</v>
      </c>
    </row>
    <row r="37" spans="1:17" ht="29" x14ac:dyDescent="0.35">
      <c r="A37" t="s">
        <v>159</v>
      </c>
      <c r="B37" s="1" t="str">
        <f>VLOOKUP(A37,'3. Answer Assessment Questions'!A$1:D$109,4,FALSE)</f>
        <v>Incorporation of features that allow for future practice modification (e.g., elbow joint in bioretention outlets to allow future elevation of the outlet invert)</v>
      </c>
      <c r="D37" t="str">
        <f>Recommendations[[#This Row],[Question '#]]&amp;Recommendations[[#This Row],[STORMWATER MANAGEMENT QUESTIONS]]&amp;Recommendations[[#This Row],[SELECT ANSWERS]]</f>
        <v>25c)Incorporation of features that allow for future practice modification (e.g., elbow joint in bioretention outlets to allow future elevation of the outlet invert)</v>
      </c>
      <c r="E37">
        <v>4</v>
      </c>
      <c r="H37" s="16"/>
      <c r="J37">
        <f>IF(Sea_Level_Impact="Low",0,1)</f>
        <v>1</v>
      </c>
      <c r="K37">
        <f>Recommendations[[#This Row],[Include1]]+Recommendations[[#This Row],[Exclude]]</f>
        <v>1</v>
      </c>
      <c r="L37" s="19">
        <f>IF(SUM(Recommendations[[#This Row],[Modern Manual]:[Sea Level Rise]])=0,0,Recommendations[[#This Row],[Include]])</f>
        <v>1</v>
      </c>
      <c r="M3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99914</v>
      </c>
      <c r="N37" s="1" t="s">
        <v>347</v>
      </c>
      <c r="O37">
        <v>14</v>
      </c>
      <c r="P37">
        <f>IF(ISERROR(VLOOKUP(Recommendations[[#This Row],[QA]],'3. Answer Assessment Questions'!$G$6:$H$102,2,FALSE)),0,1)</f>
        <v>1</v>
      </c>
    </row>
    <row r="38" spans="1:17" x14ac:dyDescent="0.35">
      <c r="A38" t="s">
        <v>163</v>
      </c>
      <c r="B38" s="1" t="str">
        <f>VLOOKUP(A38,'3. Answer Assessment Questions'!A$1:D$109,4,FALSE)</f>
        <v>Incorporating pumps or other features that provide increased head during high coastal levels</v>
      </c>
      <c r="D38" t="str">
        <f>Recommendations[[#This Row],[Question '#]]&amp;Recommendations[[#This Row],[STORMWATER MANAGEMENT QUESTIONS]]&amp;Recommendations[[#This Row],[SELECT ANSWERS]]</f>
        <v>25e)Incorporating pumps or other features that provide increased head during high coastal levels</v>
      </c>
      <c r="E38">
        <v>4</v>
      </c>
      <c r="H38" s="76"/>
      <c r="J38">
        <f>IF(Sea_Level_Impact="Low",0,1)</f>
        <v>1</v>
      </c>
      <c r="K38">
        <f>Recommendations[[#This Row],[Include1]]+Recommendations[[#This Row],[Exclude]]</f>
        <v>1</v>
      </c>
      <c r="L38" s="76">
        <f>IF(SUM(Recommendations[[#This Row],[Modern Manual]:[Sea Level Rise]])=0,0,Recommendations[[#This Row],[Include]])</f>
        <v>1</v>
      </c>
      <c r="M3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99916</v>
      </c>
      <c r="N38" t="s">
        <v>348</v>
      </c>
      <c r="O38">
        <v>16</v>
      </c>
      <c r="P38">
        <f>IF(ISERROR(VLOOKUP(Recommendations[[#This Row],[QA]],'3. Answer Assessment Questions'!$G$6:$H$102,2,FALSE)),0,1)</f>
        <v>1</v>
      </c>
    </row>
    <row r="39" spans="1:17" ht="29" x14ac:dyDescent="0.35">
      <c r="A39" t="s">
        <v>165</v>
      </c>
      <c r="B39" s="1" t="str">
        <f>VLOOKUP(A39,'3. Answer Assessment Questions'!A$1:D$109,4,FALSE)</f>
        <v>Is internal water storage (e.g. the "upturned elbow") design incorporated into bioretention design standards?</v>
      </c>
      <c r="D39" t="str">
        <f>Recommendations[[#This Row],[Question '#]]&amp;Recommendations[[#This Row],[STORMWATER MANAGEMENT QUESTIONS]]&amp;Recommendations[[#This Row],[SELECT ANSWERS]]</f>
        <v>26)Is internal water storage (e.g. the "upturned elbow") design incorporated into bioretention design standards?</v>
      </c>
      <c r="E39">
        <v>4</v>
      </c>
      <c r="F39">
        <v>1</v>
      </c>
      <c r="H39" s="16">
        <v>1</v>
      </c>
      <c r="J39" s="19">
        <f>IF(Sea_Level_Impact="Low",0,1)</f>
        <v>1</v>
      </c>
      <c r="K39">
        <f>Recommendations[[#This Row],[Include1]]+Recommendations[[#This Row],[Exclude]]</f>
        <v>1</v>
      </c>
      <c r="L39" s="19">
        <f>IF(SUM(Recommendations[[#This Row],[Modern Manual]:[Sea Level Rise]])=0,0,Recommendations[[#This Row],[Include]])</f>
        <v>1</v>
      </c>
      <c r="M3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7</v>
      </c>
      <c r="N39" t="s">
        <v>349</v>
      </c>
      <c r="O39">
        <v>7</v>
      </c>
      <c r="P39" s="19">
        <f>IF(ISERROR(VLOOKUP(Recommendations[[#This Row],[QA]],'3. Answer Assessment Questions'!$G$6:$H$102,2,FALSE)),0,1)</f>
        <v>1</v>
      </c>
      <c r="Q39" s="19"/>
    </row>
    <row r="40" spans="1:17" ht="27.65" customHeight="1" x14ac:dyDescent="0.35">
      <c r="A40" t="s">
        <v>174</v>
      </c>
      <c r="B40" s="1" t="str">
        <f>VLOOKUP(A40,'3. Answer Assessment Questions'!A$1:D$109,4,FALSE)</f>
        <v>Do any ultra-urban practices incorporate sub-surface flood storage?</v>
      </c>
      <c r="D40" t="str">
        <f>Recommendations[[#This Row],[Question '#]]&amp;Recommendations[[#This Row],[STORMWATER MANAGEMENT QUESTIONS]]&amp;Recommendations[[#This Row],[SELECT ANSWERS]]</f>
        <v>30)Do any ultra-urban practices incorporate sub-surface flood storage?</v>
      </c>
      <c r="E40">
        <v>5</v>
      </c>
      <c r="F40" s="16"/>
      <c r="G40" s="16">
        <v>1</v>
      </c>
      <c r="H40" s="16"/>
      <c r="I40" s="16"/>
      <c r="J40" s="19"/>
      <c r="K40">
        <f>Recommendations[[#This Row],[Include1]]+Recommendations[[#This Row],[Exclude]]</f>
        <v>1</v>
      </c>
      <c r="L40" s="19">
        <f>IF(SUM(Recommendations[[#This Row],[Modern Manual]:[Sea Level Rise]])=0,0,Recommendations[[#This Row],[Include]])</f>
        <v>1</v>
      </c>
      <c r="M4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90003</v>
      </c>
      <c r="N40" t="s">
        <v>350</v>
      </c>
      <c r="O40">
        <v>3</v>
      </c>
      <c r="P40" s="19">
        <f>IF(ISERROR(VLOOKUP(Recommendations[[#This Row],[QA]],'3. Answer Assessment Questions'!$G$6:$H$102,2,FALSE)),0,1)</f>
        <v>1</v>
      </c>
      <c r="Q40" s="19"/>
    </row>
    <row r="41" spans="1:17" ht="14.5" customHeight="1" x14ac:dyDescent="0.35">
      <c r="A41" t="s">
        <v>124</v>
      </c>
      <c r="B41" s="1" t="str">
        <f>VLOOKUP(A41,'3. Answer Assessment Questions'!A$1:D$109,4,FALSE)</f>
        <v>Rising groundwater</v>
      </c>
      <c r="D41" t="str">
        <f>Recommendations[[#This Row],[Question '#]]&amp;Recommendations[[#This Row],[STORMWATER MANAGEMENT QUESTIONS]]&amp;Recommendations[[#This Row],[SELECT ANSWERS]]</f>
        <v>19a)Rising groundwater</v>
      </c>
      <c r="E41">
        <v>3</v>
      </c>
      <c r="F41" s="16"/>
      <c r="G41" s="24"/>
      <c r="H41" s="25"/>
      <c r="I41" s="16"/>
      <c r="J41">
        <f>IF(Sea_Level_Impact="Low",0,1)</f>
        <v>1</v>
      </c>
      <c r="K41">
        <f>Recommendations[[#This Row],[Include1]]+Recommendations[[#This Row],[Exclude]]</f>
        <v>1</v>
      </c>
      <c r="L41" s="26">
        <f>IF(SUM(Recommendations[[#This Row],[Modern Manual]:[Sea Level Rise]])=0,0,Recommendations[[#This Row],[Include]])</f>
        <v>1</v>
      </c>
      <c r="M41" s="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99907</v>
      </c>
      <c r="N41" s="5" t="s">
        <v>351</v>
      </c>
      <c r="O41" s="5">
        <v>7</v>
      </c>
      <c r="P41" s="26">
        <f>IF(ISERROR(VLOOKUP(Recommendations[[#This Row],[QA]],'3. Answer Assessment Questions'!$G$6:$H$102,2,FALSE)),0,1)</f>
        <v>1</v>
      </c>
      <c r="Q41" s="23">
        <f>IF(Sea_Level_Impact="Low",-1,0)</f>
        <v>0</v>
      </c>
    </row>
    <row r="42" spans="1:17" x14ac:dyDescent="0.35">
      <c r="A42" t="s">
        <v>130</v>
      </c>
      <c r="B42" s="1" t="str">
        <f>VLOOKUP(A42,'3. Answer Assessment Questions'!A$1:D$109,4,FALSE)</f>
        <v>Sea level rise</v>
      </c>
      <c r="D42" t="str">
        <f>Recommendations[[#This Row],[Question '#]]&amp;Recommendations[[#This Row],[STORMWATER MANAGEMENT QUESTIONS]]&amp;Recommendations[[#This Row],[SELECT ANSWERS]]</f>
        <v>19d)Sea level rise</v>
      </c>
      <c r="E42">
        <v>3</v>
      </c>
      <c r="F42" s="16"/>
      <c r="G42" s="24"/>
      <c r="H42" s="25"/>
      <c r="I42" s="16"/>
      <c r="J42">
        <f>IF(Sea_Level_Impact="Low",0,1)</f>
        <v>1</v>
      </c>
      <c r="K42">
        <f>Recommendations[[#This Row],[Include1]]+Recommendations[[#This Row],[Exclude]]</f>
        <v>1</v>
      </c>
      <c r="L42" s="26">
        <f>IF(SUM(Recommendations[[#This Row],[Modern Manual]:[Sea Level Rise]])=0,0,Recommendations[[#This Row],[Include]])</f>
        <v>1</v>
      </c>
      <c r="M42" s="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99908</v>
      </c>
      <c r="N42" s="5" t="s">
        <v>352</v>
      </c>
      <c r="O42" s="5">
        <v>8</v>
      </c>
      <c r="P42" s="26">
        <f>IF(ISERROR(VLOOKUP(Recommendations[[#This Row],[QA]],'3. Answer Assessment Questions'!$G$6:$H$102,2,FALSE)),0,1)</f>
        <v>1</v>
      </c>
      <c r="Q42" s="23">
        <f>IF(Sea_Level_Impact="Low",-1,0)</f>
        <v>0</v>
      </c>
    </row>
    <row r="43" spans="1:17" ht="14.5" customHeight="1" x14ac:dyDescent="0.35">
      <c r="A43" t="s">
        <v>132</v>
      </c>
      <c r="B43" s="1" t="str">
        <f>VLOOKUP(A43,'3. Answer Assessment Questions'!A$1:D$109,4,FALSE)</f>
        <v>Salt water intrusion</v>
      </c>
      <c r="D43" t="str">
        <f>Recommendations[[#This Row],[Question '#]]&amp;Recommendations[[#This Row],[STORMWATER MANAGEMENT QUESTIONS]]&amp;Recommendations[[#This Row],[SELECT ANSWERS]]</f>
        <v>19e)Salt water intrusion</v>
      </c>
      <c r="E43">
        <v>3</v>
      </c>
      <c r="F43" s="16"/>
      <c r="G43" s="24"/>
      <c r="H43" s="25"/>
      <c r="I43" s="16"/>
      <c r="J43">
        <f>IF(Sea_Level_Impact="Low",0,1)</f>
        <v>1</v>
      </c>
      <c r="K43">
        <f>Recommendations[[#This Row],[Include1]]+Recommendations[[#This Row],[Exclude]]</f>
        <v>1</v>
      </c>
      <c r="L43" s="26">
        <f>IF(SUM(Recommendations[[#This Row],[Modern Manual]:[Sea Level Rise]])=0,0,Recommendations[[#This Row],[Include]])</f>
        <v>1</v>
      </c>
      <c r="M43" s="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99908</v>
      </c>
      <c r="N43" s="5" t="s">
        <v>352</v>
      </c>
      <c r="O43" s="5">
        <v>8</v>
      </c>
      <c r="P43" s="26">
        <f>IF(ISERROR(VLOOKUP(Recommendations[[#This Row],[QA]],'3. Answer Assessment Questions'!$G$6:$H$102,2,FALSE)),0,1)</f>
        <v>1</v>
      </c>
      <c r="Q43" s="23">
        <f>IF(Sea_Level_Impact="Low",-1,0)</f>
        <v>0</v>
      </c>
    </row>
    <row r="44" spans="1:17" ht="14.5" customHeight="1" x14ac:dyDescent="0.35">
      <c r="A44" t="s">
        <v>178</v>
      </c>
      <c r="B44" s="1" t="str">
        <f>VLOOKUP(A44,'3. Answer Assessment Questions'!A$1:D$109,4,FALSE)</f>
        <v>Minimum % sand (at least 50%) and maximum clay content</v>
      </c>
      <c r="D44" t="str">
        <f>Recommendations[[#This Row],[Question '#]]&amp;Recommendations[[#This Row],[STORMWATER MANAGEMENT QUESTIONS]]&amp;Recommendations[[#This Row],[SELECT ANSWERS]]</f>
        <v>31a)Minimum % sand (at least 50%) and maximum clay content</v>
      </c>
      <c r="E44">
        <v>5</v>
      </c>
      <c r="F44" s="16">
        <v>1</v>
      </c>
      <c r="G44" s="16"/>
      <c r="H44" s="16"/>
      <c r="I44" s="16"/>
      <c r="J44">
        <v>0</v>
      </c>
      <c r="K44">
        <f>Recommendations[[#This Row],[Include1]]+Recommendations[[#This Row],[Exclude]]</f>
        <v>1</v>
      </c>
      <c r="L44" s="19">
        <f>IF(SUM(Recommendations[[#This Row],[Modern Manual]:[Sea Level Rise]])=0,0,Recommendations[[#This Row],[Include]])</f>
        <v>1</v>
      </c>
      <c r="M4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2</v>
      </c>
      <c r="N44" t="s">
        <v>353</v>
      </c>
      <c r="O44">
        <v>2</v>
      </c>
      <c r="P44" s="19">
        <f>IF(ISERROR(VLOOKUP(Recommendations[[#This Row],[QA]],'3. Answer Assessment Questions'!$G$6:$H$102,2,FALSE)),0,1)</f>
        <v>1</v>
      </c>
      <c r="Q44" s="19"/>
    </row>
    <row r="45" spans="1:17" x14ac:dyDescent="0.35">
      <c r="A45" t="s">
        <v>135</v>
      </c>
      <c r="B45" s="1" t="str">
        <f>VLOOKUP(A45,'3. Answer Assessment Questions'!A$1:D$109,4,FALSE)</f>
        <v>What storm is used to define how the water quality or retention storm is conveyed to practices?</v>
      </c>
      <c r="C45" s="15" t="s">
        <v>354</v>
      </c>
      <c r="D45" t="str">
        <f>Recommendations[[#This Row],[Question '#]]&amp;Recommendations[[#This Row],[STORMWATER MANAGEMENT QUESTIONS]]&amp;Recommendations[[#This Row],[SELECT ANSWERS]]</f>
        <v>20)What storm is used to define how the water quality or retention storm is conveyed to practices?Not mentioned</v>
      </c>
      <c r="E45">
        <v>4</v>
      </c>
      <c r="F45" s="20">
        <v>1</v>
      </c>
      <c r="G45">
        <v>1</v>
      </c>
      <c r="H45" s="22"/>
      <c r="I45" s="20"/>
      <c r="J45" s="23"/>
      <c r="K45">
        <f>Recommendations[[#This Row],[Include1]]+Recommendations[[#This Row],[Exclude]]</f>
        <v>0</v>
      </c>
      <c r="L45" s="23">
        <f>IF(SUM(Recommendations[[#This Row],[Modern Manual]:[Sea Level Rise]])=0,0,Recommendations[[#This Row],[Include]])</f>
        <v>0</v>
      </c>
      <c r="M45" s="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3</v>
      </c>
      <c r="N45" s="10" t="s">
        <v>355</v>
      </c>
      <c r="O45" s="10">
        <v>3</v>
      </c>
      <c r="P45" s="23">
        <f>IF(ISERROR(VLOOKUP(Recommendations[[#This Row],[QA]],'3. Answer Assessment Questions'!$G$6:$H$102,2,FALSE)),0,1)</f>
        <v>0</v>
      </c>
      <c r="Q45" s="23"/>
    </row>
    <row r="46" spans="1:17" x14ac:dyDescent="0.35">
      <c r="A46" t="s">
        <v>180</v>
      </c>
      <c r="B46" s="1" t="str">
        <f>VLOOKUP(A46,'3. Answer Assessment Questions'!A$1:D$109,4,FALSE)</f>
        <v>Biochar</v>
      </c>
      <c r="C46" s="15"/>
      <c r="D46" t="str">
        <f>Recommendations[[#This Row],[Question '#]]&amp;Recommendations[[#This Row],[STORMWATER MANAGEMENT QUESTIONS]]&amp;Recommendations[[#This Row],[SELECT ANSWERS]]</f>
        <v>31b)Biochar</v>
      </c>
      <c r="E46">
        <v>5</v>
      </c>
      <c r="G46">
        <v>1</v>
      </c>
      <c r="H46">
        <v>1</v>
      </c>
      <c r="I46">
        <v>1</v>
      </c>
      <c r="J46" s="70">
        <v>0</v>
      </c>
      <c r="K46">
        <f>Recommendations[[#This Row],[Include1]]+Recommendations[[#This Row],[Exclude]]</f>
        <v>1</v>
      </c>
      <c r="L46" s="70">
        <f>IF(SUM(Recommendations[[#This Row],[Modern Manual]:[Sea Level Rise]])=0,0,Recommendations[[#This Row],[Include]])</f>
        <v>1</v>
      </c>
      <c r="M4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90008</v>
      </c>
      <c r="N46" t="s">
        <v>356</v>
      </c>
      <c r="O46">
        <v>8</v>
      </c>
      <c r="P46" s="70">
        <f>IF(ISERROR(VLOOKUP(Recommendations[[#This Row],[QA]],'3. Answer Assessment Questions'!$G$6:$H$102,2,FALSE)),0,1)</f>
        <v>1</v>
      </c>
      <c r="Q46" s="70"/>
    </row>
    <row r="47" spans="1:17" ht="158.5" customHeight="1" x14ac:dyDescent="0.35">
      <c r="A47" t="s">
        <v>182</v>
      </c>
      <c r="B47" s="1" t="str">
        <f>VLOOKUP(A47,'3. Answer Assessment Questions'!A$1:D$109,4,FALSE)</f>
        <v>Polymers designed to retain soil moisture</v>
      </c>
      <c r="D47" t="str">
        <f>Recommendations[[#This Row],[Question '#]]&amp;Recommendations[[#This Row],[STORMWATER MANAGEMENT QUESTIONS]]&amp;Recommendations[[#This Row],[SELECT ANSWERS]]</f>
        <v>31c)Polymers designed to retain soil moisture</v>
      </c>
      <c r="E47">
        <v>5</v>
      </c>
      <c r="H47">
        <v>1</v>
      </c>
      <c r="J47">
        <v>0</v>
      </c>
      <c r="K47">
        <f>Recommendations[[#This Row],[Include1]]+Recommendations[[#This Row],[Exclude]]</f>
        <v>1</v>
      </c>
      <c r="L47">
        <f>IF(SUM(Recommendations[[#This Row],[Modern Manual]:[Sea Level Rise]])=0,0,Recommendations[[#This Row],[Include]])</f>
        <v>1</v>
      </c>
      <c r="M4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99009</v>
      </c>
      <c r="N47" t="s">
        <v>357</v>
      </c>
      <c r="O47">
        <v>9</v>
      </c>
      <c r="P47">
        <f>IF(ISERROR(VLOOKUP(Recommendations[[#This Row],[QA]],'3. Answer Assessment Questions'!$G$6:$H$102,2,FALSE)),0,1)</f>
        <v>1</v>
      </c>
    </row>
    <row r="48" spans="1:17" ht="29" x14ac:dyDescent="0.35">
      <c r="A48" t="s">
        <v>186</v>
      </c>
      <c r="B48" s="1" t="str">
        <f>VLOOKUP(A48,'3. Answer Assessment Questions'!A$1:D$109,4,FALSE)</f>
        <v>Temperature-resistance (e.g., incorporating stone matrix asphalt or polymer-modified binders into permeable pavement specifications)</v>
      </c>
      <c r="D48" t="str">
        <f>Recommendations[[#This Row],[Question '#]]&amp;Recommendations[[#This Row],[STORMWATER MANAGEMENT QUESTIONS]]&amp;Recommendations[[#This Row],[SELECT ANSWERS]]</f>
        <v>32a)Temperature-resistance (e.g., incorporating stone matrix asphalt or polymer-modified binders into permeable pavement specifications)</v>
      </c>
      <c r="E48">
        <v>5</v>
      </c>
      <c r="I48">
        <v>1</v>
      </c>
      <c r="K48">
        <f>Recommendations[[#This Row],[Include1]]+Recommendations[[#This Row],[Exclude]]</f>
        <v>1</v>
      </c>
      <c r="L48">
        <f>IF(SUM(Recommendations[[#This Row],[Modern Manual]:[Sea Level Rise]])=0,0,Recommendations[[#This Row],[Include]])</f>
        <v>1</v>
      </c>
      <c r="M4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100001</v>
      </c>
      <c r="N48" t="s">
        <v>358</v>
      </c>
      <c r="O48">
        <v>11</v>
      </c>
      <c r="P48">
        <f>IF(ISERROR(VLOOKUP(Recommendations[[#This Row],[QA]],'3. Answer Assessment Questions'!$G$6:$H$102,2,FALSE)),0,1)</f>
        <v>1</v>
      </c>
    </row>
    <row r="49" spans="1:17" x14ac:dyDescent="0.35">
      <c r="A49" t="s">
        <v>188</v>
      </c>
      <c r="B49" s="1" t="str">
        <f>VLOOKUP(A49,'3. Answer Assessment Questions'!A$1:D$109,4,FALSE)</f>
        <v>Corrosion-resistance, such as use of corrosion-resistant concrete in areas of sea level rise</v>
      </c>
      <c r="D49" t="str">
        <f>Recommendations[[#This Row],[Question '#]]&amp;Recommendations[[#This Row],[STORMWATER MANAGEMENT QUESTIONS]]&amp;Recommendations[[#This Row],[SELECT ANSWERS]]</f>
        <v>32b)Corrosion-resistance, such as use of corrosion-resistant concrete in areas of sea level rise</v>
      </c>
      <c r="E49">
        <v>5</v>
      </c>
      <c r="J49">
        <f>IF(Sea_Level_Impact="Low",0,1)</f>
        <v>1</v>
      </c>
      <c r="K49">
        <f>Recommendations[[#This Row],[Include1]]+Recommendations[[#This Row],[Exclude]]</f>
        <v>1</v>
      </c>
      <c r="L49">
        <f>IF(SUM(Recommendations[[#This Row],[Modern Manual]:[Sea Level Rise]])=0,0,Recommendations[[#This Row],[Include]])</f>
        <v>1</v>
      </c>
      <c r="M4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99910</v>
      </c>
      <c r="N49" t="s">
        <v>359</v>
      </c>
      <c r="O49">
        <v>10</v>
      </c>
      <c r="P49">
        <f>IF(ISERROR(VLOOKUP(Recommendations[[#This Row],[QA]],'3. Answer Assessment Questions'!$G$6:$H$102,2,FALSE)),0,1)</f>
        <v>1</v>
      </c>
    </row>
    <row r="50" spans="1:17" x14ac:dyDescent="0.35">
      <c r="A50" t="s">
        <v>190</v>
      </c>
      <c r="B50" s="1" t="str">
        <f>VLOOKUP(A50,'3. Answer Assessment Questions'!A$1:D$109,4,FALSE)</f>
        <v>Carbon footprint of materials</v>
      </c>
      <c r="D50" t="str">
        <f>Recommendations[[#This Row],[Question '#]]&amp;Recommendations[[#This Row],[STORMWATER MANAGEMENT QUESTIONS]]&amp;Recommendations[[#This Row],[SELECT ANSWERS]]</f>
        <v>32c)Carbon footprint of materials</v>
      </c>
      <c r="E50">
        <v>5</v>
      </c>
      <c r="G50">
        <v>1</v>
      </c>
      <c r="H50">
        <v>1</v>
      </c>
      <c r="I50">
        <v>1</v>
      </c>
      <c r="J50">
        <f>IF(Sea_Level_Impact="Low",0,1)</f>
        <v>1</v>
      </c>
      <c r="K50">
        <f>Recommendations[[#This Row],[Include1]]+Recommendations[[#This Row],[Exclude]]</f>
        <v>1</v>
      </c>
      <c r="L50">
        <f>IF(SUM(Recommendations[[#This Row],[Modern Manual]:[Sea Level Rise]])=0,0,Recommendations[[#This Row],[Include]])</f>
        <v>1</v>
      </c>
      <c r="M5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90012</v>
      </c>
      <c r="N50" t="s">
        <v>360</v>
      </c>
      <c r="O50">
        <v>12</v>
      </c>
      <c r="P50">
        <f>IF(ISERROR(VLOOKUP(Recommendations[[#This Row],[QA]],'3. Answer Assessment Questions'!$G$6:$H$102,2,FALSE)),0,1)</f>
        <v>1</v>
      </c>
    </row>
    <row r="51" spans="1:17" x14ac:dyDescent="0.35">
      <c r="A51" t="s">
        <v>135</v>
      </c>
      <c r="B51" s="1" t="str">
        <f>VLOOKUP(A51,'3. Answer Assessment Questions'!A$1:D$109,4,FALSE)</f>
        <v>What storm is used to define how the water quality or retention storm is conveyed to practices?</v>
      </c>
      <c r="C51" t="s">
        <v>291</v>
      </c>
      <c r="D51" t="str">
        <f>Recommendations[[#This Row],[Question '#]]&amp;Recommendations[[#This Row],[STORMWATER MANAGEMENT QUESTIONS]]&amp;Recommendations[[#This Row],[SELECT ANSWERS]]</f>
        <v>20)What storm is used to define how the water quality or retention storm is conveyed to practices?Intensity based on a 24-hour event</v>
      </c>
      <c r="E51">
        <v>4</v>
      </c>
      <c r="F51" s="1"/>
      <c r="G51">
        <v>1</v>
      </c>
      <c r="H51" s="9"/>
      <c r="I51" s="1"/>
      <c r="J51" s="10"/>
      <c r="K51">
        <f>Recommendations[[#This Row],[Include1]]+Recommendations[[#This Row],[Exclude]]</f>
        <v>0</v>
      </c>
      <c r="L51" s="10">
        <f>IF(SUM(Recommendations[[#This Row],[Modern Manual]:[Sea Level Rise]])=0,0,Recommendations[[#This Row],[Include]])</f>
        <v>0</v>
      </c>
      <c r="M51" s="1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90002</v>
      </c>
      <c r="N51" s="10" t="s">
        <v>361</v>
      </c>
      <c r="O51" s="10">
        <v>2</v>
      </c>
      <c r="P51" s="10">
        <f>IF(ISERROR(VLOOKUP(Recommendations[[#This Row],[QA]],'3. Answer Assessment Questions'!$G$6:$H$102,2,FALSE)),0,1)</f>
        <v>0</v>
      </c>
      <c r="Q51" s="10"/>
    </row>
    <row r="52" spans="1:17" ht="27.65" customHeight="1" x14ac:dyDescent="0.35">
      <c r="A52" t="s">
        <v>137</v>
      </c>
      <c r="B52" s="1" t="str">
        <f>VLOOKUP(A52,'3. Answer Assessment Questions'!A$1:D$109,4,FALSE)</f>
        <v>What method of conservative conveyance is incoporated to accommodate climate change?</v>
      </c>
      <c r="C52" s="1" t="s">
        <v>299</v>
      </c>
      <c r="D52" t="str">
        <f>Recommendations[[#This Row],[Question '#]]&amp;Recommendations[[#This Row],[STORMWATER MANAGEMENT QUESTIONS]]&amp;Recommendations[[#This Row],[SELECT ANSWERS]]</f>
        <v>21)What method of conservative conveyance is incoporated to accommodate climate change?None</v>
      </c>
      <c r="E52">
        <v>4</v>
      </c>
      <c r="G52">
        <v>1</v>
      </c>
      <c r="K52">
        <f>Recommendations[[#This Row],[Include1]]+Recommendations[[#This Row],[Exclude]]</f>
        <v>0</v>
      </c>
      <c r="L52">
        <f>IF(SUM(Recommendations[[#This Row],[Modern Manual]:[Sea Level Rise]])=0,0,Recommendations[[#This Row],[Include]])</f>
        <v>0</v>
      </c>
      <c r="M52">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90004</v>
      </c>
      <c r="N52" t="s">
        <v>362</v>
      </c>
      <c r="O52">
        <v>4</v>
      </c>
      <c r="P52">
        <f>IF(ISERROR(VLOOKUP(Recommendations[[#This Row],[QA]],'3. Answer Assessment Questions'!$G$6:$H$102,2,FALSE)),0,1)</f>
        <v>0</v>
      </c>
    </row>
    <row r="53" spans="1:17" ht="29" x14ac:dyDescent="0.35">
      <c r="A53" t="s">
        <v>151</v>
      </c>
      <c r="B53" s="1" t="str">
        <f>VLOOKUP(A53,'3. Answer Assessment Questions'!A$1:D$109,4,FALSE)</f>
        <v>If flow-based systems are allowed for pretreatment, how has their design been modified to accommodate increased storm intensity?</v>
      </c>
      <c r="C53" t="s">
        <v>299</v>
      </c>
      <c r="D53" t="str">
        <f>Recommendations[[#This Row],[Question '#]]&amp;Recommendations[[#This Row],[STORMWATER MANAGEMENT QUESTIONS]]&amp;Recommendations[[#This Row],[SELECT ANSWERS]]</f>
        <v>24)If flow-based systems are allowed for pretreatment, how has their design been modified to accommodate increased storm intensity?None</v>
      </c>
      <c r="E53">
        <v>4</v>
      </c>
      <c r="G53">
        <v>1</v>
      </c>
      <c r="K53">
        <f>Recommendations[[#This Row],[Include1]]+Recommendations[[#This Row],[Exclude]]</f>
        <v>0</v>
      </c>
      <c r="L53">
        <f>IF(SUM(Recommendations[[#This Row],[Modern Manual]:[Sea Level Rise]])=0,0,Recommendations[[#This Row],[Include]])</f>
        <v>0</v>
      </c>
      <c r="M5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90011</v>
      </c>
      <c r="N53" t="s">
        <v>363</v>
      </c>
      <c r="O53">
        <v>11</v>
      </c>
      <c r="P53">
        <f>IF(ISERROR(VLOOKUP(Recommendations[[#This Row],[QA]],'3. Answer Assessment Questions'!$G$6:$H$102,2,FALSE)),0,1)</f>
        <v>0</v>
      </c>
    </row>
    <row r="54" spans="1:17" ht="28.4" customHeight="1" x14ac:dyDescent="0.35">
      <c r="A54" t="s">
        <v>147</v>
      </c>
      <c r="B54" s="1" t="str">
        <f>VLOOKUP(A54,'3. Answer Assessment Questions'!A$1:D$109,4,FALSE)</f>
        <v>Design ensures that the inlet and practice has the capacity to convey intense storm events</v>
      </c>
      <c r="C54" s="15"/>
      <c r="D54" t="str">
        <f>Recommendations[[#This Row],[Question '#]]&amp;Recommendations[[#This Row],[STORMWATER MANAGEMENT QUESTIONS]]&amp;Recommendations[[#This Row],[SELECT ANSWERS]]</f>
        <v>22d)Design ensures that the inlet and practice has the capacity to convey intense storm events</v>
      </c>
      <c r="E54">
        <v>4</v>
      </c>
      <c r="J54">
        <f>IF(Sea_Level_Impact="Low",0,1)</f>
        <v>1</v>
      </c>
      <c r="K54">
        <f>Recommendations[[#This Row],[Include1]]+Recommendations[[#This Row],[Exclude]]</f>
        <v>1</v>
      </c>
      <c r="L54">
        <f>IF(SUM(Recommendations[[#This Row],[Modern Manual]:[Sea Level Rise]])=0,0,Recommendations[[#This Row],[Include]])</f>
        <v>1</v>
      </c>
      <c r="M5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99910</v>
      </c>
      <c r="N54" t="s">
        <v>364</v>
      </c>
      <c r="O54">
        <v>10</v>
      </c>
      <c r="P54">
        <f>IF(ISERROR(VLOOKUP(Recommendations[[#This Row],[QA]],'3. Answer Assessment Questions'!$G$6:$H$102,2,FALSE)),0,1)</f>
        <v>1</v>
      </c>
      <c r="Q54" s="23">
        <f>IF(Sea_Level_Impact="Low",-1,0)</f>
        <v>0</v>
      </c>
    </row>
    <row r="55" spans="1:17" ht="27.65" customHeight="1" x14ac:dyDescent="0.35">
      <c r="A55" t="s">
        <v>155</v>
      </c>
      <c r="B55" s="1" t="str">
        <f>VLOOKUP(A55,'3. Answer Assessment Questions'!A$1:D$109,4,FALSE)</f>
        <v>Elevating outfall inverts to projected high tide</v>
      </c>
      <c r="D55" t="str">
        <f>Recommendations[[#This Row],[Question '#]]&amp;Recommendations[[#This Row],[STORMWATER MANAGEMENT QUESTIONS]]&amp;Recommendations[[#This Row],[SELECT ANSWERS]]</f>
        <v>25a)Elevating outfall inverts to projected high tide</v>
      </c>
      <c r="E55">
        <v>4</v>
      </c>
      <c r="J55">
        <f>IF(Sea_Level_Impact="Low",0,1)</f>
        <v>1</v>
      </c>
      <c r="K55">
        <f>Recommendations[[#This Row],[Include1]]+Recommendations[[#This Row],[Exclude]]</f>
        <v>1</v>
      </c>
      <c r="L55">
        <f>IF(SUM(Recommendations[[#This Row],[Modern Manual]:[Sea Level Rise]])=0,0,Recommendations[[#This Row],[Include]])</f>
        <v>1</v>
      </c>
      <c r="M5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99912</v>
      </c>
      <c r="N55" t="s">
        <v>365</v>
      </c>
      <c r="O55">
        <v>12</v>
      </c>
      <c r="P55">
        <f>IF(ISERROR(VLOOKUP(Recommendations[[#This Row],[QA]],'3. Answer Assessment Questions'!$G$6:$H$102,2,FALSE)),0,1)</f>
        <v>1</v>
      </c>
      <c r="Q55" s="10">
        <f>IF(Sea_Level_Impact="Low",-1,0)</f>
        <v>0</v>
      </c>
    </row>
    <row r="56" spans="1:17" ht="14.5" customHeight="1" x14ac:dyDescent="0.35">
      <c r="A56" t="s">
        <v>192</v>
      </c>
      <c r="B56" s="1" t="str">
        <f>VLOOKUP(A56,'3. Answer Assessment Questions'!A$1:D$109,4,FALSE)</f>
        <v>Solar reflection (e.g., incorporating lighter color materials)</v>
      </c>
      <c r="D56" t="str">
        <f>Recommendations[[#This Row],[Question '#]]&amp;Recommendations[[#This Row],[STORMWATER MANAGEMENT QUESTIONS]]&amp;Recommendations[[#This Row],[SELECT ANSWERS]]</f>
        <v>32d)Solar reflection (e.g., incorporating lighter color materials)</v>
      </c>
      <c r="E56">
        <v>5</v>
      </c>
      <c r="I56">
        <v>1</v>
      </c>
      <c r="K56">
        <f>Recommendations[[#This Row],[Include1]]+Recommendations[[#This Row],[Exclude]]</f>
        <v>1</v>
      </c>
      <c r="L56">
        <f>IF(SUM(Recommendations[[#This Row],[Modern Manual]:[Sea Level Rise]])=0,0,Recommendations[[#This Row],[Include]])</f>
        <v>1</v>
      </c>
      <c r="M5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100003</v>
      </c>
      <c r="N56" t="s">
        <v>366</v>
      </c>
      <c r="O56">
        <v>13</v>
      </c>
      <c r="P56">
        <f>IF(ISERROR(VLOOKUP(Recommendations[[#This Row],[QA]],'3. Answer Assessment Questions'!$G$6:$H$102,2,FALSE)),0,1)</f>
        <v>1</v>
      </c>
      <c r="Q56" s="19"/>
    </row>
    <row r="57" spans="1:17" ht="53.9" customHeight="1" x14ac:dyDescent="0.35">
      <c r="A57" t="s">
        <v>195</v>
      </c>
      <c r="B57" s="1" t="str">
        <f>VLOOKUP(A57,'3. Answer Assessment Questions'!A$1:D$109,4,FALSE)</f>
        <v>Do standards require ongoing maintenance?</v>
      </c>
      <c r="D57" t="str">
        <f>Recommendations[[#This Row],[Question '#]]&amp;Recommendations[[#This Row],[STORMWATER MANAGEMENT QUESTIONS]]&amp;Recommendations[[#This Row],[SELECT ANSWERS]]</f>
        <v>33)Do standards require ongoing maintenance?</v>
      </c>
      <c r="E57">
        <v>6</v>
      </c>
      <c r="F57">
        <v>1</v>
      </c>
      <c r="G57">
        <v>1</v>
      </c>
      <c r="H57">
        <v>1</v>
      </c>
      <c r="I57">
        <v>1</v>
      </c>
      <c r="J57">
        <f>IF(Sea_Level_Impact="Low",0,1)</f>
        <v>1</v>
      </c>
      <c r="K57">
        <f>Recommendations[[#This Row],[Include1]]+Recommendations[[#This Row],[Exclude]]</f>
        <v>1</v>
      </c>
      <c r="L57">
        <f>IF(SUM(Recommendations[[#This Row],[Modern Manual]:[Sea Level Rise]])=0,0,Recommendations[[#This Row],[Include]])</f>
        <v>1</v>
      </c>
      <c r="M5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57" t="s">
        <v>367</v>
      </c>
      <c r="O57">
        <v>1</v>
      </c>
      <c r="P57">
        <f>IF(ISERROR(VLOOKUP(Recommendations[[#This Row],[QA]],'3. Answer Assessment Questions'!$G$6:$H$102,2,FALSE)),0,1)</f>
        <v>1</v>
      </c>
    </row>
    <row r="58" spans="1:17" x14ac:dyDescent="0.35">
      <c r="A58" t="s">
        <v>161</v>
      </c>
      <c r="B58" s="1" t="str">
        <f>VLOOKUP(A58,'3. Answer Assessment Questions'!A$1:D$109,4,FALSE)</f>
        <v>Oversizing pipes or open channels to account for lost storage from rising sea levels</v>
      </c>
      <c r="D58" t="str">
        <f>Recommendations[[#This Row],[Question '#]]&amp;Recommendations[[#This Row],[STORMWATER MANAGEMENT QUESTIONS]]&amp;Recommendations[[#This Row],[SELECT ANSWERS]]</f>
        <v>25d)Oversizing pipes or open channels to account for lost storage from rising sea levels</v>
      </c>
      <c r="E58">
        <v>4</v>
      </c>
      <c r="J58">
        <f>IF(Sea_Level_Impact="Low",0,1)</f>
        <v>1</v>
      </c>
      <c r="K58">
        <f>Recommendations[[#This Row],[Include1]]+Recommendations[[#This Row],[Exclude]]</f>
        <v>1</v>
      </c>
      <c r="L58">
        <f>IF(SUM(Recommendations[[#This Row],[Modern Manual]:[Sea Level Rise]])=0,0,Recommendations[[#This Row],[Include]])</f>
        <v>1</v>
      </c>
      <c r="M5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99915</v>
      </c>
      <c r="N58" t="s">
        <v>368</v>
      </c>
      <c r="O58">
        <v>15</v>
      </c>
      <c r="P58">
        <f>IF(ISERROR(VLOOKUP(Recommendations[[#This Row],[QA]],'3. Answer Assessment Questions'!$G$6:$H$102,2,FALSE)),0,1)</f>
        <v>1</v>
      </c>
      <c r="Q58" s="10">
        <f>IF(Sea_Level_Impact="Low",-1,0)</f>
        <v>0</v>
      </c>
    </row>
    <row r="59" spans="1:17" ht="14.5" customHeight="1" x14ac:dyDescent="0.35">
      <c r="A59" t="s">
        <v>197</v>
      </c>
      <c r="B59" s="1" t="str">
        <f>VLOOKUP(A59,'3. Answer Assessment Questions'!A$1:D$109,4,FALSE)</f>
        <v>Are inspection checklists provided in the standards?</v>
      </c>
      <c r="D59" t="str">
        <f>Recommendations[[#This Row],[Question '#]]&amp;Recommendations[[#This Row],[STORMWATER MANAGEMENT QUESTIONS]]&amp;Recommendations[[#This Row],[SELECT ANSWERS]]</f>
        <v>34)Are inspection checklists provided in the standards?</v>
      </c>
      <c r="E59">
        <v>6</v>
      </c>
      <c r="F59">
        <v>1</v>
      </c>
      <c r="G59">
        <v>1</v>
      </c>
      <c r="H59">
        <v>1</v>
      </c>
      <c r="I59">
        <v>1</v>
      </c>
      <c r="J59">
        <f>IF(Sea_Level_Impact="Low",0,1)</f>
        <v>1</v>
      </c>
      <c r="K59">
        <f>Recommendations[[#This Row],[Include1]]+Recommendations[[#This Row],[Exclude]]</f>
        <v>1</v>
      </c>
      <c r="L59">
        <f>IF(SUM(Recommendations[[#This Row],[Modern Manual]:[Sea Level Rise]])=0,0,Recommendations[[#This Row],[Include]])</f>
        <v>1</v>
      </c>
      <c r="M5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2</v>
      </c>
      <c r="N59" t="s">
        <v>369</v>
      </c>
      <c r="O59">
        <v>2</v>
      </c>
      <c r="P59">
        <f>IF(ISERROR(VLOOKUP(Recommendations[[#This Row],[QA]],'3. Answer Assessment Questions'!$G$6:$H$102,2,FALSE)),0,1)</f>
        <v>1</v>
      </c>
      <c r="Q59" s="19"/>
    </row>
    <row r="60" spans="1:17" ht="29" x14ac:dyDescent="0.35">
      <c r="A60" t="s">
        <v>168</v>
      </c>
      <c r="B60" s="1" t="str">
        <f>VLOOKUP(A60,'3. Answer Assessment Questions'!A$1:D$109,4,FALSE)</f>
        <v>For bioretention pratices, what fraction of the treatment or retention volume needs to be captured in ponding above the filter bed?</v>
      </c>
      <c r="C60" t="s">
        <v>301</v>
      </c>
      <c r="D60" t="str">
        <f>Recommendations[[#This Row],[Question '#]]&amp;Recommendations[[#This Row],[STORMWATER MANAGEMENT QUESTIONS]]&amp;Recommendations[[#This Row],[SELECT ANSWERS]]</f>
        <v>27)For bioretention pratices, what fraction of the treatment or retention volume needs to be captured in ponding above the filter bed?a) Not specified</v>
      </c>
      <c r="E60">
        <v>5</v>
      </c>
      <c r="F60">
        <v>1</v>
      </c>
      <c r="G60">
        <v>1</v>
      </c>
      <c r="K60">
        <f>Recommendations[[#This Row],[Include1]]+Recommendations[[#This Row],[Exclude]]</f>
        <v>0</v>
      </c>
      <c r="L60">
        <f>IF(SUM(Recommendations[[#This Row],[Modern Manual]:[Sea Level Rise]])=0,0,Recommendations[[#This Row],[Include]])</f>
        <v>0</v>
      </c>
      <c r="M6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60" t="s">
        <v>370</v>
      </c>
      <c r="O60">
        <v>1</v>
      </c>
      <c r="P60">
        <f>IF(ISERROR(VLOOKUP(Recommendations[[#This Row],[QA]],'3. Answer Assessment Questions'!$G$6:$H$102,2,FALSE)),0,1)</f>
        <v>0</v>
      </c>
    </row>
    <row r="61" spans="1:17" ht="29" x14ac:dyDescent="0.35">
      <c r="A61" t="s">
        <v>168</v>
      </c>
      <c r="B61" s="1" t="str">
        <f>VLOOKUP(A61,'3. Answer Assessment Questions'!A$1:D$109,4,FALSE)</f>
        <v>For bioretention pratices, what fraction of the treatment or retention volume needs to be captured in ponding above the filter bed?</v>
      </c>
      <c r="C61" t="s">
        <v>302</v>
      </c>
      <c r="D61" t="str">
        <f>Recommendations[[#This Row],[Question '#]]&amp;Recommendations[[#This Row],[STORMWATER MANAGEMENT QUESTIONS]]&amp;Recommendations[[#This Row],[SELECT ANSWERS]]</f>
        <v>27)For bioretention pratices, what fraction of the treatment or retention volume needs to be captured in ponding above the filter bed?b) &lt;50%</v>
      </c>
      <c r="E61">
        <v>5</v>
      </c>
      <c r="F61">
        <v>1</v>
      </c>
      <c r="G61">
        <v>1</v>
      </c>
      <c r="K61">
        <f>Recommendations[[#This Row],[Include1]]+Recommendations[[#This Row],[Exclude]]</f>
        <v>0</v>
      </c>
      <c r="L61">
        <f>IF(SUM(Recommendations[[#This Row],[Modern Manual]:[Sea Level Rise]])=0,0,Recommendations[[#This Row],[Include]])</f>
        <v>0</v>
      </c>
      <c r="M6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v>
      </c>
      <c r="N61" t="s">
        <v>370</v>
      </c>
      <c r="O61">
        <v>1</v>
      </c>
      <c r="P61">
        <f>IF(ISERROR(VLOOKUP(Recommendations[[#This Row],[QA]],'3. Answer Assessment Questions'!$G$6:$H$102,2,FALSE)),0,1)</f>
        <v>0</v>
      </c>
    </row>
    <row r="62" spans="1:17" ht="29" x14ac:dyDescent="0.35">
      <c r="A62" t="s">
        <v>199</v>
      </c>
      <c r="B62" s="1" t="str">
        <f>VLOOKUP(A62,'3. Answer Assessment Questions'!A$1:D$109,4,FALSE)</f>
        <v xml:space="preserve"> Is an irrigation source required to establish vegetation or is an analysis required to determine if irrigation is needed?</v>
      </c>
      <c r="D62" t="str">
        <f>Recommendations[[#This Row],[Question '#]]&amp;Recommendations[[#This Row],[STORMWATER MANAGEMENT QUESTIONS]]&amp;Recommendations[[#This Row],[SELECT ANSWERS]]</f>
        <v>35) Is an irrigation source required to establish vegetation or is an analysis required to determine if irrigation is needed?</v>
      </c>
      <c r="E62">
        <v>6</v>
      </c>
      <c r="F62">
        <v>1</v>
      </c>
      <c r="H62">
        <v>1</v>
      </c>
      <c r="K62">
        <f>Recommendations[[#This Row],[Include1]]+Recommendations[[#This Row],[Exclude]]</f>
        <v>1</v>
      </c>
      <c r="L62">
        <f>IF(SUM(Recommendations[[#This Row],[Modern Manual]:[Sea Level Rise]])=0,0,Recommendations[[#This Row],[Include]])</f>
        <v>1</v>
      </c>
      <c r="M62">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3</v>
      </c>
      <c r="N62" t="s">
        <v>371</v>
      </c>
      <c r="O62">
        <v>3</v>
      </c>
      <c r="P62">
        <f>IF(ISERROR(VLOOKUP(Recommendations[[#This Row],[QA]],'3. Answer Assessment Questions'!$G$6:$H$102,2,FALSE)),0,1)</f>
        <v>1</v>
      </c>
    </row>
    <row r="63" spans="1:17" ht="27.65" customHeight="1" x14ac:dyDescent="0.35">
      <c r="A63" t="s">
        <v>168</v>
      </c>
      <c r="B63" s="1" t="str">
        <f>VLOOKUP(A63,'3. Answer Assessment Questions'!A$1:D$109,4,FALSE)</f>
        <v>For bioretention pratices, what fraction of the treatment or retention volume needs to be captured in ponding above the filter bed?</v>
      </c>
      <c r="C63" t="s">
        <v>303</v>
      </c>
      <c r="D63" t="str">
        <f>Recommendations[[#This Row],[Question '#]]&amp;Recommendations[[#This Row],[STORMWATER MANAGEMENT QUESTIONS]]&amp;Recommendations[[#This Row],[SELECT ANSWERS]]</f>
        <v>27)For bioretention pratices, what fraction of the treatment or retention volume needs to be captured in ponding above the filter bed?c) 50-75%</v>
      </c>
      <c r="E63">
        <v>5</v>
      </c>
      <c r="G63">
        <v>1</v>
      </c>
      <c r="K63">
        <f>Recommendations[[#This Row],[Include1]]+Recommendations[[#This Row],[Exclude]]</f>
        <v>0</v>
      </c>
      <c r="L63">
        <f>IF(SUM(Recommendations[[#This Row],[Modern Manual]:[Sea Level Rise]])=0,0,Recommendations[[#This Row],[Include]])</f>
        <v>0</v>
      </c>
      <c r="M6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90001</v>
      </c>
      <c r="N63" t="s">
        <v>370</v>
      </c>
      <c r="O63">
        <v>1</v>
      </c>
      <c r="P63">
        <f>IF(ISERROR(VLOOKUP(Recommendations[[#This Row],[QA]],'3. Answer Assessment Questions'!$G$6:$H$102,2,FALSE)),0,1)</f>
        <v>0</v>
      </c>
    </row>
    <row r="64" spans="1:17" x14ac:dyDescent="0.35">
      <c r="A64" t="s">
        <v>203</v>
      </c>
      <c r="B64" s="1" t="str">
        <f>VLOOKUP(A64,'3. Answer Assessment Questions'!A$1:D$109,4,FALSE)</f>
        <v>Drought</v>
      </c>
      <c r="D64" t="str">
        <f>Recommendations[[#This Row],[Question '#]]&amp;Recommendations[[#This Row],[STORMWATER MANAGEMENT QUESTIONS]]&amp;Recommendations[[#This Row],[SELECT ANSWERS]]</f>
        <v>36a)Drought</v>
      </c>
      <c r="E64">
        <v>6</v>
      </c>
      <c r="H64">
        <v>1</v>
      </c>
      <c r="K64">
        <f>Recommendations[[#This Row],[Include1]]+Recommendations[[#This Row],[Exclude]]</f>
        <v>1</v>
      </c>
      <c r="L64">
        <f>IF(SUM(Recommendations[[#This Row],[Modern Manual]:[Sea Level Rise]])=0,0,Recommendations[[#This Row],[Include]])</f>
        <v>1</v>
      </c>
      <c r="M6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99005</v>
      </c>
      <c r="N64" t="s">
        <v>372</v>
      </c>
      <c r="O64">
        <v>5</v>
      </c>
      <c r="P64">
        <f>IF(ISERROR(VLOOKUP(Recommendations[[#This Row],[QA]],'3. Answer Assessment Questions'!$G$6:$H$102,2,FALSE)),0,1)</f>
        <v>1</v>
      </c>
    </row>
    <row r="65" spans="1:17" ht="29" x14ac:dyDescent="0.35">
      <c r="A65" t="s">
        <v>170</v>
      </c>
      <c r="B65" s="1" t="str">
        <f>VLOOKUP(A65,'3. Answer Assessment Questions'!A$1:D$109,4,FALSE)</f>
        <v>How are “Smart BMP” technologies (i.e. technologies that include sensors and real-time adaptation based on observed flows and storm forecasts) incorporated or encouraged?</v>
      </c>
      <c r="C65" t="s">
        <v>305</v>
      </c>
      <c r="D65" t="str">
        <f>Recommendations[[#This Row],[Question '#]]&amp;Recommendations[[#This Row],[STORMWATER MANAGEMENT QUESTIONS]]&amp;Recommendations[[#This Row],[SELECT ANSWERS]]</f>
        <v>28)How are “Smart BMP” technologies (i.e. technologies that include sensors and real-time adaptation based on observed flows and storm forecasts) incorporated or encouraged?a) Not mentioned or disallowed</v>
      </c>
      <c r="E65">
        <v>5</v>
      </c>
      <c r="G65">
        <v>1</v>
      </c>
      <c r="H65">
        <v>1</v>
      </c>
      <c r="J65">
        <f>IF(Sea_Level_Impact="Low",0,1)</f>
        <v>1</v>
      </c>
      <c r="K65">
        <f>Recommendations[[#This Row],[Include1]]+Recommendations[[#This Row],[Exclude]]</f>
        <v>0</v>
      </c>
      <c r="L65">
        <f>IF(SUM(Recommendations[[#This Row],[Modern Manual]:[Sea Level Rise]])=0,0,Recommendations[[#This Row],[Include]])</f>
        <v>0</v>
      </c>
      <c r="M6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90005</v>
      </c>
      <c r="N65" t="s">
        <v>373</v>
      </c>
      <c r="O65">
        <v>5</v>
      </c>
      <c r="P65">
        <f>IF(ISERROR(VLOOKUP(Recommendations[[#This Row],[QA]],'3. Answer Assessment Questions'!$G$6:$H$102,2,FALSE)),0,1)</f>
        <v>0</v>
      </c>
    </row>
    <row r="66" spans="1:17" ht="29" x14ac:dyDescent="0.35">
      <c r="A66" t="s">
        <v>170</v>
      </c>
      <c r="B66" s="1" t="str">
        <f>VLOOKUP(A66,'3. Answer Assessment Questions'!A$1:D$109,4,FALSE)</f>
        <v>How are “Smart BMP” technologies (i.e. technologies that include sensors and real-time adaptation based on observed flows and storm forecasts) incorporated or encouraged?</v>
      </c>
      <c r="C66" t="s">
        <v>306</v>
      </c>
      <c r="D66" t="str">
        <f>Recommendations[[#This Row],[Question '#]]&amp;Recommendations[[#This Row],[STORMWATER MANAGEMENT QUESTIONS]]&amp;Recommendations[[#This Row],[SELECT ANSWERS]]</f>
        <v>28)How are “Smart BMP” technologies (i.e. technologies that include sensors and real-time adaptation based on observed flows and storm forecasts) incorporated or encouraged?b) Mentioned</v>
      </c>
      <c r="E66">
        <v>5</v>
      </c>
      <c r="G66">
        <v>1</v>
      </c>
      <c r="H66">
        <v>1</v>
      </c>
      <c r="K66">
        <f>Recommendations[[#This Row],[Include1]]+Recommendations[[#This Row],[Exclude]]</f>
        <v>0</v>
      </c>
      <c r="L66">
        <f>IF(SUM(Recommendations[[#This Row],[Modern Manual]:[Sea Level Rise]])=0,0,Recommendations[[#This Row],[Include]])</f>
        <v>0</v>
      </c>
      <c r="M6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90006</v>
      </c>
      <c r="N66" t="s">
        <v>374</v>
      </c>
      <c r="O66">
        <v>6</v>
      </c>
      <c r="P66">
        <f>IF(ISERROR(VLOOKUP(Recommendations[[#This Row],[QA]],'3. Answer Assessment Questions'!$G$6:$H$102,2,FALSE)),0,1)</f>
        <v>0</v>
      </c>
    </row>
    <row r="67" spans="1:17" x14ac:dyDescent="0.35">
      <c r="A67" t="s">
        <v>205</v>
      </c>
      <c r="B67" s="1" t="str">
        <f>VLOOKUP(A67,'3. Answer Assessment Questions'!A$1:D$109,4,FALSE)</f>
        <v>Frequent rainfall/erosive events</v>
      </c>
      <c r="D67" t="str">
        <f>Recommendations[[#This Row],[Question '#]]&amp;Recommendations[[#This Row],[STORMWATER MANAGEMENT QUESTIONS]]&amp;Recommendations[[#This Row],[SELECT ANSWERS]]</f>
        <v>36b)Frequent rainfall/erosive events</v>
      </c>
      <c r="E67">
        <v>6</v>
      </c>
      <c r="G67">
        <v>1</v>
      </c>
      <c r="K67">
        <f>Recommendations[[#This Row],[Include1]]+Recommendations[[#This Row],[Exclude]]</f>
        <v>1</v>
      </c>
      <c r="L67">
        <f>IF(SUM(Recommendations[[#This Row],[Modern Manual]:[Sea Level Rise]])=0,0,Recommendations[[#This Row],[Include]])</f>
        <v>1</v>
      </c>
      <c r="M6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90005</v>
      </c>
      <c r="N67" t="s">
        <v>372</v>
      </c>
      <c r="O67">
        <v>5</v>
      </c>
      <c r="P67">
        <f>IF(ISERROR(VLOOKUP(Recommendations[[#This Row],[QA]],'3. Answer Assessment Questions'!$G$6:$H$102,2,FALSE)),0,1)</f>
        <v>1</v>
      </c>
    </row>
    <row r="68" spans="1:17" ht="42" customHeight="1" x14ac:dyDescent="0.35">
      <c r="A68" t="s">
        <v>207</v>
      </c>
      <c r="B68" s="1" t="str">
        <f>VLOOKUP(A68,'3. Answer Assessment Questions'!A$1:D$109,4,FALSE)</f>
        <v>Sea level rise and inundation</v>
      </c>
      <c r="D68" t="str">
        <f>Recommendations[[#This Row],[Question '#]]&amp;Recommendations[[#This Row],[STORMWATER MANAGEMENT QUESTIONS]]&amp;Recommendations[[#This Row],[SELECT ANSWERS]]</f>
        <v>36c)Sea level rise and inundation</v>
      </c>
      <c r="E68">
        <v>6</v>
      </c>
      <c r="J68">
        <f>IF(Sea_Level_Impact="Low",0,1)</f>
        <v>1</v>
      </c>
      <c r="K68">
        <f>Recommendations[[#This Row],[Include1]]+Recommendations[[#This Row],[Exclude]]</f>
        <v>1</v>
      </c>
      <c r="L68">
        <f>IF(SUM(Recommendations[[#This Row],[Modern Manual]:[Sea Level Rise]])=0,0,Recommendations[[#This Row],[Include]])</f>
        <v>1</v>
      </c>
      <c r="M6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99905</v>
      </c>
      <c r="N68" t="s">
        <v>372</v>
      </c>
      <c r="O68">
        <v>5</v>
      </c>
      <c r="P68">
        <f>IF(ISERROR(VLOOKUP(Recommendations[[#This Row],[QA]],'3. Answer Assessment Questions'!$G$6:$H$102,2,FALSE)),0,1)</f>
        <v>1</v>
      </c>
      <c r="Q68" s="19"/>
    </row>
    <row r="69" spans="1:17" x14ac:dyDescent="0.35">
      <c r="A69" t="s">
        <v>209</v>
      </c>
      <c r="B69" s="1" t="str">
        <f>VLOOKUP(A69,'3. Answer Assessment Questions'!A$1:D$109,4,FALSE)</f>
        <v>Do maintenance standards include a “practice conversion” option for changing climate conditions?</v>
      </c>
      <c r="D69" t="str">
        <f>Recommendations[[#This Row],[Question '#]]&amp;Recommendations[[#This Row],[STORMWATER MANAGEMENT QUESTIONS]]&amp;Recommendations[[#This Row],[SELECT ANSWERS]]</f>
        <v>37)Do maintenance standards include a “practice conversion” option for changing climate conditions?</v>
      </c>
      <c r="E69">
        <v>6</v>
      </c>
      <c r="J69">
        <f>IF(Sea_Level_Impact="Low",0,1)</f>
        <v>1</v>
      </c>
      <c r="K69">
        <f>Recommendations[[#This Row],[Include1]]+Recommendations[[#This Row],[Exclude]]</f>
        <v>1</v>
      </c>
      <c r="L69">
        <f>IF(SUM(Recommendations[[#This Row],[Modern Manual]:[Sea Level Rise]])=0,0,Recommendations[[#This Row],[Include]])</f>
        <v>1</v>
      </c>
      <c r="M6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99906</v>
      </c>
      <c r="N69" t="s">
        <v>375</v>
      </c>
      <c r="O69">
        <v>6</v>
      </c>
      <c r="P69">
        <f>IF(ISERROR(VLOOKUP(Recommendations[[#This Row],[QA]],'3. Answer Assessment Questions'!$G$6:$H$102,2,FALSE)),0,1)</f>
        <v>1</v>
      </c>
    </row>
    <row r="70" spans="1:17" x14ac:dyDescent="0.35">
      <c r="A70" t="s">
        <v>211</v>
      </c>
      <c r="B70" s="1" t="str">
        <f>VLOOKUP(A70,'3. Answer Assessment Questions'!A$1:D$109,4,FALSE)</f>
        <v>Do standards include a landscaping plant list?</v>
      </c>
      <c r="D70" t="str">
        <f>Recommendations[[#This Row],[Question '#]]&amp;Recommendations[[#This Row],[STORMWATER MANAGEMENT QUESTIONS]]&amp;Recommendations[[#This Row],[SELECT ANSWERS]]</f>
        <v>38)Do standards include a landscaping plant list?</v>
      </c>
      <c r="E70">
        <v>6</v>
      </c>
      <c r="F70">
        <v>1</v>
      </c>
      <c r="K70">
        <f>Recommendations[[#This Row],[Include1]]+Recommendations[[#This Row],[Exclude]]</f>
        <v>1</v>
      </c>
      <c r="L70">
        <f>IF(SUM(Recommendations[[#This Row],[Modern Manual]:[Sea Level Rise]])=0,0,Recommendations[[#This Row],[Include]])</f>
        <v>1</v>
      </c>
      <c r="M7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4</v>
      </c>
      <c r="N70" t="s">
        <v>376</v>
      </c>
      <c r="O70">
        <v>4</v>
      </c>
      <c r="P70">
        <f>IF(ISERROR(VLOOKUP(Recommendations[[#This Row],[QA]],'3. Answer Assessment Questions'!$G$6:$H$102,2,FALSE)),0,1)</f>
        <v>1</v>
      </c>
    </row>
    <row r="71" spans="1:17" x14ac:dyDescent="0.35">
      <c r="A71" t="s">
        <v>215</v>
      </c>
      <c r="B71" s="1" t="str">
        <f>VLOOKUP(A71,'3. Answer Assessment Questions'!A$1:D$109,4,FALSE)</f>
        <v>Tolerance for "wet feet" (e.g., frequently inundated soils)</v>
      </c>
      <c r="D71" t="str">
        <f>Recommendations[[#This Row],[Question '#]]&amp;Recommendations[[#This Row],[STORMWATER MANAGEMENT QUESTIONS]]&amp;Recommendations[[#This Row],[SELECT ANSWERS]]</f>
        <v>39a)Tolerance for "wet feet" (e.g., frequently inundated soils)</v>
      </c>
      <c r="E71">
        <v>6</v>
      </c>
      <c r="G71">
        <v>1</v>
      </c>
      <c r="J71">
        <f>IF(Sea_Level_Impact="Low",0,1)</f>
        <v>1</v>
      </c>
      <c r="K71">
        <f>Recommendations[[#This Row],[Include1]]+Recommendations[[#This Row],[Exclude]]</f>
        <v>1</v>
      </c>
      <c r="L71">
        <f>IF(SUM(Recommendations[[#This Row],[Modern Manual]:[Sea Level Rise]])=0,0,Recommendations[[#This Row],[Include]])</f>
        <v>1</v>
      </c>
      <c r="M7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90007</v>
      </c>
      <c r="N71" t="s">
        <v>377</v>
      </c>
      <c r="O71">
        <v>7</v>
      </c>
      <c r="P71">
        <f>IF(ISERROR(VLOOKUP(Recommendations[[#This Row],[QA]],'3. Answer Assessment Questions'!$G$6:$H$102,2,FALSE)),0,1)</f>
        <v>1</v>
      </c>
    </row>
    <row r="72" spans="1:17" ht="29" x14ac:dyDescent="0.35">
      <c r="A72" t="s">
        <v>172</v>
      </c>
      <c r="B72" s="1" t="str">
        <f>VLOOKUP(A72,'3. Answer Assessment Questions'!A$1:D$109,4,FALSE)</f>
        <v>Do designs for any practices require or incorporate a “reserve area” to accommodate future conversion (i.e., from infiltration or bioretention practice basin to a wet pond) due to sea level rise?</v>
      </c>
      <c r="D72" t="str">
        <f>Recommendations[[#This Row],[Question '#]]&amp;Recommendations[[#This Row],[STORMWATER MANAGEMENT QUESTIONS]]&amp;Recommendations[[#This Row],[SELECT ANSWERS]]</f>
        <v>29)Do designs for any practices require or incorporate a “reserve area” to accommodate future conversion (i.e., from infiltration or bioretention practice basin to a wet pond) due to sea level rise?</v>
      </c>
      <c r="E72">
        <v>5</v>
      </c>
      <c r="J72">
        <f>IF(Sea_Level_Impact="Low",0,1)</f>
        <v>1</v>
      </c>
      <c r="K72">
        <f>Recommendations[[#This Row],[Include1]]+Recommendations[[#This Row],[Exclude]]</f>
        <v>1</v>
      </c>
      <c r="L72">
        <f>IF(SUM(Recommendations[[#This Row],[Modern Manual]:[Sea Level Rise]])=0,0,Recommendations[[#This Row],[Include]])</f>
        <v>1</v>
      </c>
      <c r="M72">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99907</v>
      </c>
      <c r="N72" t="s">
        <v>378</v>
      </c>
      <c r="O72">
        <v>7</v>
      </c>
      <c r="P72">
        <f>IF(ISERROR(VLOOKUP(Recommendations[[#This Row],[QA]],'3. Answer Assessment Questions'!$G$6:$H$102,2,FALSE)),0,1)</f>
        <v>1</v>
      </c>
      <c r="Q72" s="10">
        <f>IF(Sea_Level_Impact="Low",-1,0)</f>
        <v>0</v>
      </c>
    </row>
    <row r="73" spans="1:17" ht="13.75" customHeight="1" x14ac:dyDescent="0.35">
      <c r="A73" t="s">
        <v>217</v>
      </c>
      <c r="B73" s="1" t="str">
        <f>VLOOKUP(A73,'3. Answer Assessment Questions'!A$1:D$109,4,FALSE)</f>
        <v>Frequent inundation tolerance</v>
      </c>
      <c r="D73" t="str">
        <f>Recommendations[[#This Row],[Question '#]]&amp;Recommendations[[#This Row],[STORMWATER MANAGEMENT QUESTIONS]]&amp;Recommendations[[#This Row],[SELECT ANSWERS]]</f>
        <v>39b)Frequent inundation tolerance</v>
      </c>
      <c r="E73">
        <v>6</v>
      </c>
      <c r="G73">
        <v>1</v>
      </c>
      <c r="K73">
        <f>Recommendations[[#This Row],[Include1]]+Recommendations[[#This Row],[Exclude]]</f>
        <v>1</v>
      </c>
      <c r="L73">
        <f>IF(SUM(Recommendations[[#This Row],[Modern Manual]:[Sea Level Rise]])=0,0,Recommendations[[#This Row],[Include]])</f>
        <v>1</v>
      </c>
      <c r="M7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90007</v>
      </c>
      <c r="N73" t="s">
        <v>377</v>
      </c>
      <c r="O73">
        <v>7</v>
      </c>
      <c r="P73">
        <f>IF(ISERROR(VLOOKUP(Recommendations[[#This Row],[QA]],'3. Answer Assessment Questions'!$G$6:$H$102,2,FALSE)),0,1)</f>
        <v>1</v>
      </c>
      <c r="Q73" s="19"/>
    </row>
    <row r="74" spans="1:17" x14ac:dyDescent="0.35">
      <c r="A74" t="s">
        <v>219</v>
      </c>
      <c r="B74" s="1" t="str">
        <f>VLOOKUP(A74,'3. Answer Assessment Questions'!A$1:D$109,4,FALSE)</f>
        <v>Prolonged drought resistance</v>
      </c>
      <c r="D74" t="str">
        <f>Recommendations[[#This Row],[Question '#]]&amp;Recommendations[[#This Row],[STORMWATER MANAGEMENT QUESTIONS]]&amp;Recommendations[[#This Row],[SELECT ANSWERS]]</f>
        <v>39c)Prolonged drought resistance</v>
      </c>
      <c r="E74">
        <v>6</v>
      </c>
      <c r="H74">
        <v>1</v>
      </c>
      <c r="K74">
        <f>Recommendations[[#This Row],[Include1]]+Recommendations[[#This Row],[Exclude]]</f>
        <v>1</v>
      </c>
      <c r="L74">
        <f>IF(SUM(Recommendations[[#This Row],[Modern Manual]:[Sea Level Rise]])=0,0,Recommendations[[#This Row],[Include]])</f>
        <v>1</v>
      </c>
      <c r="M7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99008</v>
      </c>
      <c r="N74" t="s">
        <v>379</v>
      </c>
      <c r="O74">
        <v>8</v>
      </c>
      <c r="P74">
        <f>IF(ISERROR(VLOOKUP(Recommendations[[#This Row],[QA]],'3. Answer Assessment Questions'!$G$6:$H$102,2,FALSE)),0,1)</f>
        <v>1</v>
      </c>
    </row>
    <row r="75" spans="1:17" x14ac:dyDescent="0.35">
      <c r="A75" t="s">
        <v>221</v>
      </c>
      <c r="B75" s="1" t="str">
        <f>VLOOKUP(A75,'3. Answer Assessment Questions'!A$1:D$109,4,FALSE)</f>
        <v>Salt tolerance</v>
      </c>
      <c r="D75" t="str">
        <f>Recommendations[[#This Row],[Question '#]]&amp;Recommendations[[#This Row],[STORMWATER MANAGEMENT QUESTIONS]]&amp;Recommendations[[#This Row],[SELECT ANSWERS]]</f>
        <v>39d)Salt tolerance</v>
      </c>
      <c r="E75">
        <v>6</v>
      </c>
      <c r="J75">
        <f>IF(Sea_Level_Impact="Low",0,1)</f>
        <v>1</v>
      </c>
      <c r="K75">
        <f>Recommendations[[#This Row],[Include1]]+Recommendations[[#This Row],[Exclude]]</f>
        <v>1</v>
      </c>
      <c r="L75">
        <f>IF(SUM(Recommendations[[#This Row],[Modern Manual]:[Sea Level Rise]])=0,0,Recommendations[[#This Row],[Include]])</f>
        <v>1</v>
      </c>
      <c r="M7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99909</v>
      </c>
      <c r="N75" t="s">
        <v>380</v>
      </c>
      <c r="O75">
        <v>9</v>
      </c>
      <c r="P75">
        <f>IF(ISERROR(VLOOKUP(Recommendations[[#This Row],[QA]],'3. Answer Assessment Questions'!$G$6:$H$102,2,FALSE)),0,1)</f>
        <v>1</v>
      </c>
    </row>
    <row r="76" spans="1:17" x14ac:dyDescent="0.35">
      <c r="A76" t="s">
        <v>223</v>
      </c>
      <c r="B76" s="1" t="str">
        <f>VLOOKUP(A76,'3. Answer Assessment Questions'!A$1:D$109,4,FALSE)</f>
        <v>Fire resistance</v>
      </c>
      <c r="D76" t="str">
        <f>Recommendations[[#This Row],[Question '#]]&amp;Recommendations[[#This Row],[STORMWATER MANAGEMENT QUESTIONS]]&amp;Recommendations[[#This Row],[SELECT ANSWERS]]</f>
        <v>39e)Fire resistance</v>
      </c>
      <c r="E76">
        <v>6</v>
      </c>
      <c r="H76">
        <v>1</v>
      </c>
      <c r="K76">
        <f>Recommendations[[#This Row],[Include1]]+Recommendations[[#This Row],[Exclude]]</f>
        <v>1</v>
      </c>
      <c r="L76">
        <f>IF(SUM(Recommendations[[#This Row],[Modern Manual]:[Sea Level Rise]])=0,0,Recommendations[[#This Row],[Include]])</f>
        <v>1</v>
      </c>
      <c r="M7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99008</v>
      </c>
      <c r="N76" t="s">
        <v>379</v>
      </c>
      <c r="O76">
        <v>8</v>
      </c>
      <c r="P76">
        <f>IF(ISERROR(VLOOKUP(Recommendations[[#This Row],[QA]],'3. Answer Assessment Questions'!$G$6:$H$102,2,FALSE)),0,1)</f>
        <v>1</v>
      </c>
    </row>
    <row r="77" spans="1:17" x14ac:dyDescent="0.35">
      <c r="A77" t="s">
        <v>225</v>
      </c>
      <c r="B77" s="1" t="str">
        <f>VLOOKUP(A77,'3. Answer Assessment Questions'!A$1:D$109,4,FALSE)</f>
        <v>Shading/cooling</v>
      </c>
      <c r="D77" t="str">
        <f>Recommendations[[#This Row],[Question '#]]&amp;Recommendations[[#This Row],[STORMWATER MANAGEMENT QUESTIONS]]&amp;Recommendations[[#This Row],[SELECT ANSWERS]]</f>
        <v>39f)Shading/cooling</v>
      </c>
      <c r="E77">
        <v>6</v>
      </c>
      <c r="I77">
        <v>1</v>
      </c>
      <c r="K77">
        <f>Recommendations[[#This Row],[Include1]]+Recommendations[[#This Row],[Exclude]]</f>
        <v>1</v>
      </c>
      <c r="L77">
        <f>IF(SUM(Recommendations[[#This Row],[Modern Manual]:[Sea Level Rise]])=0,0,Recommendations[[#This Row],[Include]])</f>
        <v>1</v>
      </c>
      <c r="M7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100000</v>
      </c>
      <c r="N77" t="s">
        <v>381</v>
      </c>
      <c r="O77">
        <v>10</v>
      </c>
      <c r="P77">
        <f>IF(ISERROR(VLOOKUP(Recommendations[[#This Row],[QA]],'3. Answer Assessment Questions'!$G$6:$H$102,2,FALSE)),0,1)</f>
        <v>1</v>
      </c>
    </row>
    <row r="78" spans="1:17" ht="13.75" customHeight="1" x14ac:dyDescent="0.35">
      <c r="A78" t="s">
        <v>51</v>
      </c>
      <c r="B78" s="1" t="str">
        <f>VLOOKUP(A78,'3. Answer Assessment Questions'!A$1:D$109,4,FALSE)</f>
        <v>Are design storms incorporated by reference (i.e. automatically updated as information changes)?</v>
      </c>
      <c r="D78" t="str">
        <f>Recommendations[[#This Row],[Question '#]]&amp;Recommendations[[#This Row],[STORMWATER MANAGEMENT QUESTIONS]]&amp;Recommendations[[#This Row],[SELECT ANSWERS]]</f>
        <v>4)Are design storms incorporated by reference (i.e. automatically updated as information changes)?</v>
      </c>
      <c r="E78">
        <v>2</v>
      </c>
      <c r="G78">
        <v>1</v>
      </c>
      <c r="K78">
        <f>Recommendations[[#This Row],[Include1]]+Recommendations[[#This Row],[Exclude]]</f>
        <v>1</v>
      </c>
      <c r="L78">
        <f>IF(SUM(Recommendations[[#This Row],[Modern Manual]:[Sea Level Rise]])=0,0,Recommendations[[#This Row],[Include]])</f>
        <v>1</v>
      </c>
      <c r="M7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90007</v>
      </c>
      <c r="N78" t="s">
        <v>382</v>
      </c>
      <c r="O78">
        <v>7</v>
      </c>
      <c r="P78">
        <f>IF(ISERROR(VLOOKUP(Recommendations[[#This Row],[QA]],'3. Answer Assessment Questions'!$G$6:$H$102,2,FALSE)),0,1)</f>
        <v>1</v>
      </c>
    </row>
    <row r="79" spans="1:17" ht="13.75" customHeight="1" x14ac:dyDescent="0.35">
      <c r="A79" t="s">
        <v>227</v>
      </c>
      <c r="B79" s="1" t="str">
        <f>VLOOKUP(A79,'3. Answer Assessment Questions'!A$1:D$109,4,FALSE)</f>
        <v>Does the landscaping section suggest methods to modify plant selections based on changing climate conditions?</v>
      </c>
      <c r="D79" t="str">
        <f>Recommendations[[#This Row],[Question '#]]&amp;Recommendations[[#This Row],[STORMWATER MANAGEMENT QUESTIONS]]&amp;Recommendations[[#This Row],[SELECT ANSWERS]]</f>
        <v>40)Does the landscaping section suggest methods to modify plant selections based on changing climate conditions?</v>
      </c>
      <c r="E79">
        <v>6</v>
      </c>
      <c r="G79">
        <v>1</v>
      </c>
      <c r="H79">
        <v>1</v>
      </c>
      <c r="I79">
        <v>1</v>
      </c>
      <c r="J79">
        <f>IF(Sea_Level_Impact="Low",0,1)</f>
        <v>1</v>
      </c>
      <c r="K79">
        <f>Recommendations[[#This Row],[Include1]]+Recommendations[[#This Row],[Exclude]]</f>
        <v>1</v>
      </c>
      <c r="L79">
        <f>IF(SUM(Recommendations[[#This Row],[Modern Manual]:[Sea Level Rise]])=0,0,Recommendations[[#This Row],[Include]])</f>
        <v>1</v>
      </c>
      <c r="M79">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90011</v>
      </c>
      <c r="N79" t="s">
        <v>383</v>
      </c>
      <c r="O79">
        <v>11</v>
      </c>
      <c r="P79">
        <f>IF(ISERROR(VLOOKUP(Recommendations[[#This Row],[QA]],'3. Answer Assessment Questions'!$G$6:$H$102,2,FALSE)),0,1)</f>
        <v>1</v>
      </c>
    </row>
    <row r="80" spans="1:17" ht="13.75" customHeight="1" x14ac:dyDescent="0.35">
      <c r="A80" t="s">
        <v>57</v>
      </c>
      <c r="B80" s="1" t="str">
        <f>VLOOKUP(A80,'3. Answer Assessment Questions'!A$1:D$109,4,FALSE)</f>
        <v>Risk-based approach (e.g., providing greater flood control in flood-prone areas)</v>
      </c>
      <c r="D80" t="str">
        <f>Recommendations[[#This Row],[Question '#]]&amp;Recommendations[[#This Row],[STORMWATER MANAGEMENT QUESTIONS]]&amp;Recommendations[[#This Row],[SELECT ANSWERS]]</f>
        <v>6a)Risk-based approach (e.g., providing greater flood control in flood-prone areas)</v>
      </c>
      <c r="E80">
        <v>2</v>
      </c>
      <c r="F80">
        <v>1</v>
      </c>
      <c r="G80">
        <v>1</v>
      </c>
      <c r="K80">
        <f>Recommendations[[#This Row],[Include1]]+Recommendations[[#This Row],[Exclude]]</f>
        <v>1</v>
      </c>
      <c r="L80">
        <f>IF(SUM(Recommendations[[#This Row],[Modern Manual]:[Sea Level Rise]])=0,0,Recommendations[[#This Row],[Include]])</f>
        <v>1</v>
      </c>
      <c r="M80">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v>
      </c>
      <c r="N80" t="s">
        <v>384</v>
      </c>
      <c r="O80">
        <v>9</v>
      </c>
      <c r="P80">
        <f>IF(ISERROR(VLOOKUP(Recommendations[[#This Row],[QA]],'3. Answer Assessment Questions'!$G$6:$H$102,2,FALSE)),0,1)</f>
        <v>1</v>
      </c>
    </row>
    <row r="81" spans="1:17" ht="13.75" customHeight="1" x14ac:dyDescent="0.35">
      <c r="A81" t="s">
        <v>59</v>
      </c>
      <c r="B81" s="1" t="str">
        <f>VLOOKUP(A81,'3. Answer Assessment Questions'!A$1:D$109,4,FALSE)</f>
        <v>Continuous models based on existing rainfall patterns or a "typical year" are used to establish targets</v>
      </c>
      <c r="D81" t="str">
        <f>Recommendations[[#This Row],[Question '#]]&amp;Recommendations[[#This Row],[STORMWATER MANAGEMENT QUESTIONS]]&amp;Recommendations[[#This Row],[SELECT ANSWERS]]</f>
        <v>6b)Continuous models based on existing rainfall patterns or a "typical year" are used to establish targets</v>
      </c>
      <c r="E81">
        <v>2</v>
      </c>
      <c r="F81">
        <v>1</v>
      </c>
      <c r="G81">
        <v>1</v>
      </c>
      <c r="K81">
        <f>Recommendations[[#This Row],[Include1]]+Recommendations[[#This Row],[Exclude]]</f>
        <v>1</v>
      </c>
      <c r="L81">
        <f>IF(SUM(Recommendations[[#This Row],[Modern Manual]:[Sea Level Rise]])=0,0,Recommendations[[#This Row],[Include]])</f>
        <v>1</v>
      </c>
      <c r="M81">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v>
      </c>
      <c r="N81" t="s">
        <v>384</v>
      </c>
      <c r="O81">
        <v>9</v>
      </c>
      <c r="P81">
        <f>IF(ISERROR(VLOOKUP(Recommendations[[#This Row],[QA]],'3. Answer Assessment Questions'!$G$6:$H$102,2,FALSE)),0,1)</f>
        <v>1</v>
      </c>
      <c r="Q81">
        <f>IF(P82=0,-1,0)</f>
        <v>0</v>
      </c>
    </row>
    <row r="82" spans="1:17" ht="29" x14ac:dyDescent="0.35">
      <c r="A82" t="s">
        <v>61</v>
      </c>
      <c r="B82" s="1" t="str">
        <f>VLOOKUP(A82,'3. Answer Assessment Questions'!A$1:D$109,4,FALSE)</f>
        <v>Continuous models based on projected rainfall patterns (assuming climate change) are used to establish targets</v>
      </c>
      <c r="D82" t="str">
        <f>Recommendations[[#This Row],[Question '#]]&amp;Recommendations[[#This Row],[STORMWATER MANAGEMENT QUESTIONS]]&amp;Recommendations[[#This Row],[SELECT ANSWERS]]</f>
        <v>6c)Continuous models based on projected rainfall patterns (assuming climate change) are used to establish targets</v>
      </c>
      <c r="E82">
        <v>2</v>
      </c>
      <c r="G82">
        <v>1</v>
      </c>
      <c r="K82">
        <f>Recommendations[[#This Row],[Include1]]+Recommendations[[#This Row],[Exclude]]</f>
        <v>1</v>
      </c>
      <c r="L82">
        <f>IF(SUM(Recommendations[[#This Row],[Modern Manual]:[Sea Level Rise]])=0,0,Recommendations[[#This Row],[Include]])</f>
        <v>1</v>
      </c>
      <c r="M82">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90013</v>
      </c>
      <c r="N82" t="s">
        <v>385</v>
      </c>
      <c r="O82">
        <v>13</v>
      </c>
      <c r="P82">
        <f>IF(ISERROR(VLOOKUP(Recommendations[[#This Row],[QA]],'3. Answer Assessment Questions'!$G$6:$H$102,2,FALSE)),0,1)</f>
        <v>1</v>
      </c>
    </row>
    <row r="83" spans="1:17" x14ac:dyDescent="0.35">
      <c r="A83" t="s">
        <v>65</v>
      </c>
      <c r="B83" s="1" t="str">
        <f>VLOOKUP(A83,'3. Answer Assessment Questions'!A$1:D$109,4,FALSE)</f>
        <v>Channel protection</v>
      </c>
      <c r="D83" t="str">
        <f>Recommendations[[#This Row],[Question '#]]&amp;Recommendations[[#This Row],[STORMWATER MANAGEMENT QUESTIONS]]&amp;Recommendations[[#This Row],[SELECT ANSWERS]]</f>
        <v>7a)Channel protection</v>
      </c>
      <c r="E83">
        <v>2</v>
      </c>
      <c r="F83" s="1">
        <v>1</v>
      </c>
      <c r="G83" s="8"/>
      <c r="K83">
        <f>Recommendations[[#This Row],[Include1]]+Recommendations[[#This Row],[Exclude]]</f>
        <v>1</v>
      </c>
      <c r="L83">
        <f>IF(SUM(Recommendations[[#This Row],[Modern Manual]:[Sea Level Rise]])=0,0,Recommendations[[#This Row],[Include]])</f>
        <v>1</v>
      </c>
      <c r="M83">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2</v>
      </c>
      <c r="N83" t="s">
        <v>386</v>
      </c>
      <c r="O83">
        <v>2</v>
      </c>
      <c r="P83">
        <f>IF(ISERROR(VLOOKUP(Recommendations[[#This Row],[QA]],'3. Answer Assessment Questions'!$G$6:$H$102,2,FALSE)),0,1)</f>
        <v>1</v>
      </c>
    </row>
    <row r="84" spans="1:17" ht="13.75" customHeight="1" x14ac:dyDescent="0.35">
      <c r="A84" t="s">
        <v>67</v>
      </c>
      <c r="B84" s="1" t="str">
        <f>VLOOKUP(A84,'3. Answer Assessment Questions'!A$1:D$109,4,FALSE)</f>
        <v>Water quality</v>
      </c>
      <c r="D84" t="str">
        <f>Recommendations[[#This Row],[Question '#]]&amp;Recommendations[[#This Row],[STORMWATER MANAGEMENT QUESTIONS]]&amp;Recommendations[[#This Row],[SELECT ANSWERS]]</f>
        <v>7b)Water quality</v>
      </c>
      <c r="E84">
        <v>2</v>
      </c>
      <c r="F84" s="1">
        <v>1</v>
      </c>
      <c r="G84" s="8"/>
      <c r="K84">
        <f>Recommendations[[#This Row],[Include1]]+Recommendations[[#This Row],[Exclude]]</f>
        <v>1</v>
      </c>
      <c r="L84">
        <f>IF(SUM(Recommendations[[#This Row],[Modern Manual]:[Sea Level Rise]])=0,0,Recommendations[[#This Row],[Include]])</f>
        <v>1</v>
      </c>
      <c r="M84">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3</v>
      </c>
      <c r="N84" t="s">
        <v>387</v>
      </c>
      <c r="O84">
        <v>3</v>
      </c>
      <c r="P84">
        <f>IF(ISERROR(VLOOKUP(Recommendations[[#This Row],[QA]],'3. Answer Assessment Questions'!$G$6:$H$102,2,FALSE)),0,1)</f>
        <v>1</v>
      </c>
    </row>
    <row r="85" spans="1:17" x14ac:dyDescent="0.35">
      <c r="A85" t="s">
        <v>69</v>
      </c>
      <c r="B85" s="1" t="str">
        <f>VLOOKUP(A85,'3. Answer Assessment Questions'!A$1:D$109,4,FALSE)</f>
        <v>Recharge or runoff reduction</v>
      </c>
      <c r="D85" t="str">
        <f>Recommendations[[#This Row],[Question '#]]&amp;Recommendations[[#This Row],[STORMWATER MANAGEMENT QUESTIONS]]&amp;Recommendations[[#This Row],[SELECT ANSWERS]]</f>
        <v>7c)Recharge or runoff reduction</v>
      </c>
      <c r="E85">
        <v>2</v>
      </c>
      <c r="F85">
        <v>1</v>
      </c>
      <c r="K85">
        <f>Recommendations[[#This Row],[Include1]]+Recommendations[[#This Row],[Exclude]]</f>
        <v>1</v>
      </c>
      <c r="L85">
        <f>IF(SUM(Recommendations[[#This Row],[Modern Manual]:[Sea Level Rise]])=0,0,Recommendations[[#This Row],[Include]])</f>
        <v>1</v>
      </c>
      <c r="M85">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4</v>
      </c>
      <c r="N85" t="s">
        <v>388</v>
      </c>
      <c r="O85">
        <v>4</v>
      </c>
      <c r="P85">
        <f>IF(ISERROR(VLOOKUP(Recommendations[[#This Row],[QA]],'3. Answer Assessment Questions'!$G$6:$H$102,2,FALSE)),0,1)</f>
        <v>1</v>
      </c>
    </row>
    <row r="86" spans="1:17" x14ac:dyDescent="0.35">
      <c r="A86" t="s">
        <v>71</v>
      </c>
      <c r="B86" s="1" t="str">
        <f>VLOOKUP(A86,'3. Answer Assessment Questions'!A$1:D$109,4,FALSE)</f>
        <v>Rainwater harvesting</v>
      </c>
      <c r="D86" t="str">
        <f>Recommendations[[#This Row],[Question '#]]&amp;Recommendations[[#This Row],[STORMWATER MANAGEMENT QUESTIONS]]&amp;Recommendations[[#This Row],[SELECT ANSWERS]]</f>
        <v>7d)Rainwater harvesting</v>
      </c>
      <c r="E86">
        <v>2</v>
      </c>
      <c r="H86">
        <v>1</v>
      </c>
      <c r="K86">
        <f>Recommendations[[#This Row],[Include1]]+Recommendations[[#This Row],[Exclude]]</f>
        <v>1</v>
      </c>
      <c r="L86">
        <f>IF(SUM(Recommendations[[#This Row],[Modern Manual]:[Sea Level Rise]])=0,0,Recommendations[[#This Row],[Include]])</f>
        <v>1</v>
      </c>
      <c r="M86">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99020</v>
      </c>
      <c r="N86" t="s">
        <v>389</v>
      </c>
      <c r="O86">
        <v>20</v>
      </c>
      <c r="P86">
        <f>IF(ISERROR(VLOOKUP(Recommendations[[#This Row],[QA]],'3. Answer Assessment Questions'!$G$6:$H$102,2,FALSE)),0,1)</f>
        <v>1</v>
      </c>
    </row>
    <row r="87" spans="1:17" ht="13.75" customHeight="1" x14ac:dyDescent="0.35">
      <c r="A87" t="s">
        <v>81</v>
      </c>
      <c r="B87" s="1" t="str">
        <f>VLOOKUP(A87,'3. Answer Assessment Questions'!A$1:D$109,4,FALSE)</f>
        <v>A short duration storm event (e.g., 5-yr, 1-hr)</v>
      </c>
      <c r="D87" t="str">
        <f>Recommendations[[#This Row],[Question '#]]&amp;Recommendations[[#This Row],[STORMWATER MANAGEMENT QUESTIONS]]&amp;Recommendations[[#This Row],[SELECT ANSWERS]]</f>
        <v>8d)A short duration storm event (e.g., 5-yr, 1-hr)</v>
      </c>
      <c r="E87">
        <v>2</v>
      </c>
      <c r="F87" s="1"/>
      <c r="G87">
        <v>1</v>
      </c>
      <c r="K87">
        <f>Recommendations[[#This Row],[Include1]]+Recommendations[[#This Row],[Exclude]]</f>
        <v>1</v>
      </c>
      <c r="L87">
        <f>IF(SUM(Recommendations[[#This Row],[Modern Manual]:[Sea Level Rise]])=0,0,Recommendations[[#This Row],[Include]])</f>
        <v>1</v>
      </c>
      <c r="M87">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90017</v>
      </c>
      <c r="N87" t="s">
        <v>390</v>
      </c>
      <c r="O87">
        <v>17</v>
      </c>
      <c r="P87">
        <f>IF(ISERROR(VLOOKUP(Recommendations[[#This Row],[QA]],'3. Answer Assessment Questions'!$G$6:$H$102,2,FALSE)),0,1)</f>
        <v>1</v>
      </c>
    </row>
    <row r="88" spans="1:17" ht="29" x14ac:dyDescent="0.35">
      <c r="A88" t="s">
        <v>89</v>
      </c>
      <c r="B88" s="1" t="str">
        <f>VLOOKUP(A88,'3. Answer Assessment Questions'!A$1:D$109,4,FALSE)</f>
        <v>Does water quality/runoff reduction sizing explicitly account for climate change (e.g., by evaluating a more intense or larger event)?</v>
      </c>
      <c r="D88" t="str">
        <f>Recommendations[[#This Row],[Question '#]]&amp;Recommendations[[#This Row],[STORMWATER MANAGEMENT QUESTIONS]]&amp;Recommendations[[#This Row],[SELECT ANSWERS]]</f>
        <v>9)Does water quality/runoff reduction sizing explicitly account for climate change (e.g., by evaluating a more intense or larger event)?</v>
      </c>
      <c r="E88">
        <v>2</v>
      </c>
      <c r="G88">
        <v>1</v>
      </c>
      <c r="K88">
        <f>Recommendations[[#This Row],[Include1]]+Recommendations[[#This Row],[Exclude]]</f>
        <v>1</v>
      </c>
      <c r="L88">
        <f>IF(SUM(Recommendations[[#This Row],[Modern Manual]:[Sea Level Rise]])=0,0,Recommendations[[#This Row],[Include]])</f>
        <v>1</v>
      </c>
      <c r="M88">
        <f>100000-IF(Recommendations[[#This Row],[Modern Manual]]=1,100000,IF(AND(NOT(Precip_Impact="Low"),Recommendations[[#This Row],[High Precipitation]]=1),10000,IF(AND(NOT(Drought_Impact="Low"),Recommendations[[#This Row],[Drought]]=1),1000,IF(AND(NOT(Sea_Level_Impact="Low"),Recommendations[[#This Row],[Sea Level Rise]]=1),100,IF(AND(NOT(Temp_Impact="low"),Recommendations[[#This Row],[High Temperature]]=1),10)))))+Recommendations[[#This Row],[Section Priority]]</f>
        <v>90017</v>
      </c>
      <c r="N88" t="s">
        <v>390</v>
      </c>
      <c r="O88">
        <v>17</v>
      </c>
      <c r="P88">
        <f>IF(ISERROR(VLOOKUP(Recommendations[[#This Row],[QA]],'3. Answer Assessment Questions'!$G$6:$H$102,2,FALSE)),0,1)</f>
        <v>1</v>
      </c>
    </row>
  </sheetData>
  <dataValidations disablePrompts="1" count="2">
    <dataValidation showInputMessage="1" showErrorMessage="1" sqref="C24" xr:uid="{C203A18D-ACCD-4907-8D92-01AFA3527630}"/>
    <dataValidation allowBlank="1" showInputMessage="1" showErrorMessage="1" sqref="F68:I70 N66 N68:N70 P66:Q66" xr:uid="{61188EC9-5599-46CC-8A45-4D5634AEA347}"/>
  </dataValidations>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8304-EF41-4D09-B42C-9D3C64E98C2B}">
  <sheetPr codeName="Sheet8"/>
  <dimension ref="D2:W147"/>
  <sheetViews>
    <sheetView topLeftCell="A52" zoomScale="98" zoomScaleNormal="98" workbookViewId="0">
      <selection activeCell="D35" sqref="D35"/>
    </sheetView>
  </sheetViews>
  <sheetFormatPr defaultRowHeight="14.5" x14ac:dyDescent="0.35"/>
  <sheetData>
    <row r="2" spans="4:23" x14ac:dyDescent="0.35">
      <c r="M2">
        <f>SUM(M6:M143)</f>
        <v>0</v>
      </c>
    </row>
    <row r="4" spans="4:23" x14ac:dyDescent="0.35">
      <c r="D4" t="str">
        <f>'4. Get Recommendations'!B16</f>
        <v>Select Category</v>
      </c>
    </row>
    <row r="5" spans="4:23" x14ac:dyDescent="0.35">
      <c r="D5" t="s">
        <v>308</v>
      </c>
      <c r="E5">
        <v>1</v>
      </c>
    </row>
    <row r="6" spans="4:23" x14ac:dyDescent="0.35">
      <c r="D6" t="e" cm="1">
        <f t="array" aca="1" ref="D6" ca="1">_xlfn._xlws.SORT(_xlfn._xlws.FILTER(Recommendations[[Section]:[Recommendation]],(INDIRECT("Recommendations["&amp;Impact_Select&amp;"]")=1)*(Recommendations[All]=1)*(Recommendations[Section]=E5)),9,1)</f>
        <v>#REF!</v>
      </c>
      <c r="W6" t="str" cm="1">
        <f t="array" ref="W6">IFERROR(_xlfn.UNIQUE(_xlfn._xlws.FILTER(Recs_1,Recs_1&gt;0)),"No Recommendations")</f>
        <v>No Recommendations</v>
      </c>
    </row>
    <row r="11" spans="4:23" x14ac:dyDescent="0.35">
      <c r="D11" t="s">
        <v>308</v>
      </c>
      <c r="E11">
        <v>2</v>
      </c>
    </row>
    <row r="12" spans="4:23" x14ac:dyDescent="0.35">
      <c r="D12" t="e" cm="1">
        <f t="array" aca="1" ref="D12" ca="1">_xlfn._xlws.SORT(_xlfn._xlws.FILTER(Recommendations[[Section]:[Recommendation]],(INDIRECT("Recommendations["&amp;Impact_Select&amp;"]")=1)*(Recommendations[All]=1)*(Recommendations[Section]=E11)),9,1)</f>
        <v>#REF!</v>
      </c>
      <c r="W12" t="str" cm="1">
        <f t="array" ref="W12">IFERROR(_xlfn.UNIQUE(_xlfn._xlws.FILTER(Recs_2,Recs_2&gt;0)),"No Recommendations")</f>
        <v>No Recommendations</v>
      </c>
    </row>
    <row r="34" spans="4:23" x14ac:dyDescent="0.35">
      <c r="D34" t="s">
        <v>308</v>
      </c>
      <c r="E34">
        <v>3</v>
      </c>
    </row>
    <row r="35" spans="4:23" x14ac:dyDescent="0.35">
      <c r="D35" t="e" cm="1">
        <f t="array" aca="1" ref="D35" ca="1">_xlfn._xlws.FILTER(Recommendations[[Section]:[Recommendation]],(INDIRECT("Recommendations[["&amp;Rec_Category&amp;"]]")=1)*(Recommendations[All]=1)*(Recommendations[Section]=E34))</f>
        <v>#REF!</v>
      </c>
      <c r="W35" t="str" cm="1">
        <f t="array" ref="W35">IFERROR(_xlfn.UNIQUE(_xlfn._xlws.FILTER(Recs_3,Recs_3&gt;0)),"No Recommendations")</f>
        <v>No Recommendations</v>
      </c>
    </row>
    <row r="48" spans="4:23" x14ac:dyDescent="0.35">
      <c r="D48" t="s">
        <v>308</v>
      </c>
      <c r="E48">
        <v>4</v>
      </c>
    </row>
    <row r="49" spans="4:23" x14ac:dyDescent="0.35">
      <c r="D49" t="e" cm="1">
        <f t="array" aca="1" ref="D49" ca="1">_xlfn._xlws.FILTER(Recommendations[[Section]:[Recommendation]],(INDIRECT("Recommendations[["&amp;Rec_Category&amp;"]]")=1)*(Recommendations[All]=1)*(Recommendations[Section]=E48))</f>
        <v>#REF!</v>
      </c>
      <c r="W49" t="str" cm="1">
        <f t="array" ref="W49">IFERROR(_xlfn.UNIQUE(_xlfn._xlws.FILTER(Recs_4,Recs_4&gt;0)),"No Recommendations")</f>
        <v>No Recommendations</v>
      </c>
    </row>
    <row r="65" spans="4:23" x14ac:dyDescent="0.35">
      <c r="D65" t="s">
        <v>308</v>
      </c>
      <c r="E65">
        <v>5</v>
      </c>
    </row>
    <row r="66" spans="4:23" x14ac:dyDescent="0.35">
      <c r="D66" t="e" cm="1">
        <f t="array" aca="1" ref="D66" ca="1">_xlfn._xlws.FILTER(Recommendations[[Section]:[Recommendation]],(INDIRECT("Recommendations[["&amp;Rec_Category&amp;"]]")=1)*(Recommendations[All]=1)*(Recommendations[Section]=E65))</f>
        <v>#REF!</v>
      </c>
      <c r="W66" t="str" cm="1">
        <f t="array" ref="W66">IFERROR(_xlfn.UNIQUE(_xlfn._xlws.FILTER(Recs_5,Recs_5&gt;0)),"No Recommendations")</f>
        <v>No Recommendations</v>
      </c>
    </row>
    <row r="77" spans="4:23" x14ac:dyDescent="0.35">
      <c r="D77" t="s">
        <v>308</v>
      </c>
      <c r="E77">
        <v>6</v>
      </c>
    </row>
    <row r="78" spans="4:23" x14ac:dyDescent="0.35">
      <c r="D78" t="e" cm="1">
        <f t="array" aca="1" ref="D78" ca="1">_xlfn._xlws.FILTER(Recommendations[[Section]:[Recommendation]],(INDIRECT("Recommendations[["&amp;Rec_Category&amp;"]]")=1)*(Recommendations[All]=1)*(Recommendations[Section]=E77))</f>
        <v>#REF!</v>
      </c>
      <c r="W78" t="str" cm="1">
        <f t="array" ref="W78">IFERROR(_xlfn.UNIQUE(_xlfn._xlws.FILTER(Recs_6,Recs_6&gt;0)),"No Recommendations")</f>
        <v>No Recommendations</v>
      </c>
    </row>
    <row r="142" spans="17:17" x14ac:dyDescent="0.35">
      <c r="Q142">
        <f t="shared" ref="Q142:Q147" si="0">F142</f>
        <v>0</v>
      </c>
    </row>
    <row r="143" spans="17:17" x14ac:dyDescent="0.35">
      <c r="Q143">
        <f t="shared" si="0"/>
        <v>0</v>
      </c>
    </row>
    <row r="144" spans="17:17" x14ac:dyDescent="0.35">
      <c r="Q144">
        <f t="shared" si="0"/>
        <v>0</v>
      </c>
    </row>
    <row r="145" spans="17:17" x14ac:dyDescent="0.35">
      <c r="Q145">
        <f t="shared" si="0"/>
        <v>0</v>
      </c>
    </row>
    <row r="146" spans="17:17" x14ac:dyDescent="0.35">
      <c r="Q146">
        <f t="shared" si="0"/>
        <v>0</v>
      </c>
    </row>
    <row r="147" spans="17:17" x14ac:dyDescent="0.35">
      <c r="Q147">
        <f t="shared" si="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027A-2ECD-444D-BB5F-0C01C3A5B75D}">
  <sheetPr codeName="Sheet4"/>
  <dimension ref="A1:N53"/>
  <sheetViews>
    <sheetView topLeftCell="B2" workbookViewId="0">
      <selection activeCell="J10" sqref="J10"/>
    </sheetView>
  </sheetViews>
  <sheetFormatPr defaultRowHeight="14.5" x14ac:dyDescent="0.35"/>
  <cols>
    <col min="1" max="1" width="15.54296875" customWidth="1"/>
    <col min="2" max="2" width="22.453125" customWidth="1"/>
    <col min="3" max="3" width="19.453125" customWidth="1"/>
    <col min="4" max="4" width="17.54296875" customWidth="1"/>
    <col min="5" max="5" width="17.453125" customWidth="1"/>
    <col min="6" max="6" width="15.453125" customWidth="1"/>
    <col min="7" max="7" width="13.453125" customWidth="1"/>
    <col min="10" max="10" width="20" customWidth="1"/>
  </cols>
  <sheetData>
    <row r="1" spans="1:14" s="1" customFormat="1" ht="29" x14ac:dyDescent="0.35">
      <c r="A1" s="1" t="s">
        <v>17</v>
      </c>
      <c r="B1" s="1" t="s">
        <v>391</v>
      </c>
      <c r="C1" s="1" t="s">
        <v>392</v>
      </c>
      <c r="D1" s="1" t="s">
        <v>393</v>
      </c>
      <c r="E1" s="1" t="s">
        <v>394</v>
      </c>
      <c r="F1" s="1" t="s">
        <v>395</v>
      </c>
      <c r="G1" s="1" t="s">
        <v>396</v>
      </c>
      <c r="J1" s="1" t="s">
        <v>397</v>
      </c>
      <c r="N1" t="s">
        <v>398</v>
      </c>
    </row>
    <row r="2" spans="1:14" ht="29" x14ac:dyDescent="0.35">
      <c r="A2" s="1" t="s">
        <v>18</v>
      </c>
      <c r="B2" s="1"/>
      <c r="C2" s="1"/>
      <c r="D2" s="1"/>
      <c r="E2" s="1"/>
      <c r="F2" s="1"/>
      <c r="G2" s="1"/>
      <c r="J2" s="1" t="s">
        <v>399</v>
      </c>
      <c r="N2" t="s">
        <v>283</v>
      </c>
    </row>
    <row r="3" spans="1:14" x14ac:dyDescent="0.35">
      <c r="A3" t="s">
        <v>400</v>
      </c>
      <c r="B3" t="s">
        <v>401</v>
      </c>
      <c r="C3" t="s">
        <v>401</v>
      </c>
      <c r="D3" t="s">
        <v>402</v>
      </c>
      <c r="E3" t="s">
        <v>403</v>
      </c>
      <c r="F3" t="s">
        <v>401</v>
      </c>
      <c r="G3" t="s">
        <v>402</v>
      </c>
      <c r="J3" t="s">
        <v>404</v>
      </c>
    </row>
    <row r="4" spans="1:14" x14ac:dyDescent="0.35">
      <c r="A4" t="s">
        <v>405</v>
      </c>
      <c r="B4" t="s">
        <v>406</v>
      </c>
      <c r="C4" t="s">
        <v>403</v>
      </c>
      <c r="D4" t="s">
        <v>401</v>
      </c>
      <c r="E4" t="s">
        <v>403</v>
      </c>
      <c r="F4" t="s">
        <v>402</v>
      </c>
      <c r="G4" t="s">
        <v>402</v>
      </c>
      <c r="J4" t="s">
        <v>407</v>
      </c>
    </row>
    <row r="5" spans="1:14" x14ac:dyDescent="0.35">
      <c r="A5" t="s">
        <v>408</v>
      </c>
      <c r="B5" t="s">
        <v>406</v>
      </c>
      <c r="C5" t="s">
        <v>403</v>
      </c>
      <c r="D5" t="s">
        <v>402</v>
      </c>
      <c r="E5" t="s">
        <v>401</v>
      </c>
      <c r="F5" t="s">
        <v>403</v>
      </c>
      <c r="G5" t="s">
        <v>402</v>
      </c>
      <c r="J5" t="s">
        <v>409</v>
      </c>
    </row>
    <row r="6" spans="1:14" x14ac:dyDescent="0.35">
      <c r="A6" t="s">
        <v>410</v>
      </c>
      <c r="B6" t="s">
        <v>406</v>
      </c>
      <c r="C6" t="s">
        <v>401</v>
      </c>
      <c r="D6" t="s">
        <v>402</v>
      </c>
      <c r="E6" t="s">
        <v>403</v>
      </c>
      <c r="F6" t="s">
        <v>403</v>
      </c>
      <c r="G6" t="s">
        <v>402</v>
      </c>
      <c r="J6" t="s">
        <v>411</v>
      </c>
    </row>
    <row r="7" spans="1:14" x14ac:dyDescent="0.35">
      <c r="A7" t="s">
        <v>412</v>
      </c>
      <c r="B7" t="s">
        <v>401</v>
      </c>
      <c r="C7" t="s">
        <v>406</v>
      </c>
      <c r="D7" t="s">
        <v>402</v>
      </c>
      <c r="E7" t="s">
        <v>401</v>
      </c>
      <c r="F7" t="s">
        <v>402</v>
      </c>
      <c r="G7" t="s">
        <v>402</v>
      </c>
      <c r="J7" t="s">
        <v>413</v>
      </c>
    </row>
    <row r="8" spans="1:14" x14ac:dyDescent="0.35">
      <c r="A8" t="s">
        <v>414</v>
      </c>
      <c r="B8" t="s">
        <v>406</v>
      </c>
      <c r="C8" t="s">
        <v>403</v>
      </c>
      <c r="D8" t="s">
        <v>402</v>
      </c>
      <c r="E8" t="s">
        <v>401</v>
      </c>
      <c r="F8" t="s">
        <v>403</v>
      </c>
      <c r="G8" t="s">
        <v>402</v>
      </c>
      <c r="J8" t="s">
        <v>299</v>
      </c>
    </row>
    <row r="9" spans="1:14" x14ac:dyDescent="0.35">
      <c r="A9" t="s">
        <v>415</v>
      </c>
      <c r="B9" t="s">
        <v>406</v>
      </c>
      <c r="C9" t="s">
        <v>403</v>
      </c>
      <c r="D9" t="s">
        <v>401</v>
      </c>
      <c r="E9" t="s">
        <v>403</v>
      </c>
      <c r="F9" t="s">
        <v>401</v>
      </c>
      <c r="G9" t="s">
        <v>401</v>
      </c>
    </row>
    <row r="10" spans="1:14" x14ac:dyDescent="0.35">
      <c r="A10" t="s">
        <v>416</v>
      </c>
      <c r="B10" t="s">
        <v>401</v>
      </c>
      <c r="C10" t="s">
        <v>401</v>
      </c>
      <c r="D10" t="s">
        <v>401</v>
      </c>
      <c r="E10" t="s">
        <v>403</v>
      </c>
      <c r="F10" t="s">
        <v>401</v>
      </c>
      <c r="G10" t="s">
        <v>401</v>
      </c>
      <c r="J10" t="s">
        <v>277</v>
      </c>
    </row>
    <row r="11" spans="1:14" x14ac:dyDescent="0.35">
      <c r="A11" t="s">
        <v>417</v>
      </c>
      <c r="B11" t="s">
        <v>401</v>
      </c>
      <c r="C11" t="s">
        <v>406</v>
      </c>
      <c r="D11" t="s">
        <v>401</v>
      </c>
      <c r="E11" t="s">
        <v>403</v>
      </c>
      <c r="F11" t="s">
        <v>401</v>
      </c>
      <c r="G11" t="s">
        <v>401</v>
      </c>
      <c r="J11" t="s">
        <v>309</v>
      </c>
    </row>
    <row r="12" spans="1:14" x14ac:dyDescent="0.35">
      <c r="A12" t="s">
        <v>418</v>
      </c>
      <c r="B12" t="s">
        <v>406</v>
      </c>
      <c r="C12" t="s">
        <v>403</v>
      </c>
      <c r="D12" t="s">
        <v>402</v>
      </c>
      <c r="E12" t="s">
        <v>403</v>
      </c>
      <c r="F12" t="s">
        <v>401</v>
      </c>
      <c r="G12" t="s">
        <v>402</v>
      </c>
      <c r="J12" t="s">
        <v>310</v>
      </c>
    </row>
    <row r="13" spans="1:14" x14ac:dyDescent="0.35">
      <c r="A13" t="s">
        <v>419</v>
      </c>
      <c r="B13" t="s">
        <v>401</v>
      </c>
      <c r="C13" t="s">
        <v>401</v>
      </c>
      <c r="D13" t="s">
        <v>402</v>
      </c>
      <c r="E13" t="s">
        <v>403</v>
      </c>
      <c r="F13" t="s">
        <v>401</v>
      </c>
      <c r="G13" t="s">
        <v>402</v>
      </c>
      <c r="J13" t="s">
        <v>204</v>
      </c>
    </row>
    <row r="14" spans="1:14" x14ac:dyDescent="0.35">
      <c r="A14" t="s">
        <v>420</v>
      </c>
      <c r="B14" t="s">
        <v>406</v>
      </c>
      <c r="C14" t="s">
        <v>403</v>
      </c>
      <c r="D14" t="s">
        <v>402</v>
      </c>
      <c r="E14" t="s">
        <v>403</v>
      </c>
      <c r="F14" t="s">
        <v>401</v>
      </c>
      <c r="G14" t="s">
        <v>403</v>
      </c>
      <c r="J14" t="s">
        <v>311</v>
      </c>
    </row>
    <row r="15" spans="1:14" x14ac:dyDescent="0.35">
      <c r="A15" t="s">
        <v>421</v>
      </c>
      <c r="B15" t="s">
        <v>403</v>
      </c>
      <c r="C15" t="s">
        <v>403</v>
      </c>
      <c r="D15" t="s">
        <v>402</v>
      </c>
      <c r="E15" t="s">
        <v>402</v>
      </c>
      <c r="F15" t="s">
        <v>403</v>
      </c>
      <c r="G15" t="s">
        <v>403</v>
      </c>
      <c r="J15" t="s">
        <v>312</v>
      </c>
    </row>
    <row r="16" spans="1:14" x14ac:dyDescent="0.35">
      <c r="A16" t="s">
        <v>422</v>
      </c>
      <c r="B16" t="s">
        <v>401</v>
      </c>
      <c r="C16" t="s">
        <v>406</v>
      </c>
      <c r="D16" t="s">
        <v>401</v>
      </c>
      <c r="E16" t="s">
        <v>402</v>
      </c>
      <c r="F16" t="s">
        <v>403</v>
      </c>
      <c r="G16" t="s">
        <v>401</v>
      </c>
      <c r="J16" t="s">
        <v>314</v>
      </c>
    </row>
    <row r="17" spans="1:7" x14ac:dyDescent="0.35">
      <c r="A17" t="s">
        <v>423</v>
      </c>
      <c r="B17" t="s">
        <v>401</v>
      </c>
      <c r="C17" t="s">
        <v>406</v>
      </c>
      <c r="D17" t="s">
        <v>401</v>
      </c>
      <c r="E17" t="s">
        <v>402</v>
      </c>
      <c r="F17" t="s">
        <v>403</v>
      </c>
      <c r="G17" t="s">
        <v>401</v>
      </c>
    </row>
    <row r="18" spans="1:7" x14ac:dyDescent="0.35">
      <c r="A18" t="s">
        <v>424</v>
      </c>
      <c r="B18" t="s">
        <v>406</v>
      </c>
      <c r="C18" t="s">
        <v>403</v>
      </c>
      <c r="D18" t="s">
        <v>401</v>
      </c>
      <c r="E18" t="s">
        <v>402</v>
      </c>
      <c r="F18" t="s">
        <v>403</v>
      </c>
      <c r="G18" t="s">
        <v>401</v>
      </c>
    </row>
    <row r="19" spans="1:7" x14ac:dyDescent="0.35">
      <c r="A19" t="s">
        <v>425</v>
      </c>
      <c r="B19" t="s">
        <v>406</v>
      </c>
      <c r="C19" t="s">
        <v>403</v>
      </c>
      <c r="D19" t="s">
        <v>403</v>
      </c>
      <c r="E19" t="s">
        <v>401</v>
      </c>
      <c r="F19" t="s">
        <v>403</v>
      </c>
      <c r="G19" t="s">
        <v>402</v>
      </c>
    </row>
    <row r="20" spans="1:7" x14ac:dyDescent="0.35">
      <c r="A20" t="s">
        <v>426</v>
      </c>
      <c r="B20" t="s">
        <v>406</v>
      </c>
      <c r="C20" t="s">
        <v>406</v>
      </c>
      <c r="D20" t="s">
        <v>402</v>
      </c>
      <c r="E20" t="s">
        <v>403</v>
      </c>
      <c r="F20" t="s">
        <v>403</v>
      </c>
      <c r="G20" t="s">
        <v>402</v>
      </c>
    </row>
    <row r="21" spans="1:7" x14ac:dyDescent="0.35">
      <c r="A21" t="s">
        <v>427</v>
      </c>
      <c r="B21" t="s">
        <v>401</v>
      </c>
      <c r="C21" t="s">
        <v>401</v>
      </c>
      <c r="D21" t="s">
        <v>402</v>
      </c>
      <c r="E21" t="s">
        <v>403</v>
      </c>
      <c r="F21" t="s">
        <v>401</v>
      </c>
      <c r="G21" t="s">
        <v>402</v>
      </c>
    </row>
    <row r="22" spans="1:7" x14ac:dyDescent="0.35">
      <c r="A22" t="s">
        <v>428</v>
      </c>
      <c r="B22" t="s">
        <v>406</v>
      </c>
      <c r="C22" t="s">
        <v>403</v>
      </c>
      <c r="D22" t="s">
        <v>401</v>
      </c>
      <c r="E22" t="s">
        <v>403</v>
      </c>
      <c r="F22" t="s">
        <v>401</v>
      </c>
      <c r="G22" t="s">
        <v>401</v>
      </c>
    </row>
    <row r="23" spans="1:7" x14ac:dyDescent="0.35">
      <c r="A23" t="s">
        <v>429</v>
      </c>
      <c r="B23" t="s">
        <v>401</v>
      </c>
      <c r="C23" t="s">
        <v>406</v>
      </c>
      <c r="D23" t="s">
        <v>401</v>
      </c>
      <c r="E23" t="s">
        <v>403</v>
      </c>
      <c r="F23" t="s">
        <v>401</v>
      </c>
      <c r="G23" t="s">
        <v>401</v>
      </c>
    </row>
    <row r="24" spans="1:7" x14ac:dyDescent="0.35">
      <c r="A24" t="s">
        <v>430</v>
      </c>
      <c r="B24" t="s">
        <v>406</v>
      </c>
      <c r="C24" t="s">
        <v>403</v>
      </c>
      <c r="D24" t="s">
        <v>401</v>
      </c>
      <c r="E24" t="s">
        <v>403</v>
      </c>
      <c r="F24" t="s">
        <v>401</v>
      </c>
      <c r="G24" t="s">
        <v>401</v>
      </c>
    </row>
    <row r="25" spans="1:7" x14ac:dyDescent="0.35">
      <c r="A25" t="s">
        <v>431</v>
      </c>
      <c r="B25" t="s">
        <v>406</v>
      </c>
      <c r="C25" t="s">
        <v>403</v>
      </c>
      <c r="D25" t="s">
        <v>401</v>
      </c>
      <c r="E25" t="s">
        <v>402</v>
      </c>
      <c r="F25" t="s">
        <v>403</v>
      </c>
      <c r="G25" t="s">
        <v>401</v>
      </c>
    </row>
    <row r="26" spans="1:7" x14ac:dyDescent="0.35">
      <c r="A26" t="s">
        <v>432</v>
      </c>
      <c r="B26" t="s">
        <v>406</v>
      </c>
      <c r="C26" t="s">
        <v>403</v>
      </c>
      <c r="D26" t="s">
        <v>401</v>
      </c>
      <c r="E26" t="s">
        <v>402</v>
      </c>
      <c r="F26" t="s">
        <v>403</v>
      </c>
      <c r="G26" t="s">
        <v>401</v>
      </c>
    </row>
    <row r="27" spans="1:7" x14ac:dyDescent="0.35">
      <c r="A27" t="s">
        <v>433</v>
      </c>
      <c r="B27" t="s">
        <v>401</v>
      </c>
      <c r="C27" t="s">
        <v>401</v>
      </c>
      <c r="D27" t="s">
        <v>402</v>
      </c>
      <c r="E27" t="s">
        <v>403</v>
      </c>
      <c r="F27" t="s">
        <v>401</v>
      </c>
      <c r="G27" t="s">
        <v>402</v>
      </c>
    </row>
    <row r="28" spans="1:7" x14ac:dyDescent="0.35">
      <c r="A28" t="s">
        <v>434</v>
      </c>
      <c r="B28" t="s">
        <v>401</v>
      </c>
      <c r="C28" t="s">
        <v>406</v>
      </c>
      <c r="D28" t="s">
        <v>401</v>
      </c>
      <c r="E28" t="s">
        <v>402</v>
      </c>
      <c r="F28" t="s">
        <v>403</v>
      </c>
      <c r="G28" t="s">
        <v>401</v>
      </c>
    </row>
    <row r="29" spans="1:7" x14ac:dyDescent="0.35">
      <c r="A29" t="s">
        <v>435</v>
      </c>
      <c r="B29" t="s">
        <v>403</v>
      </c>
      <c r="C29" t="s">
        <v>403</v>
      </c>
      <c r="D29" t="s">
        <v>403</v>
      </c>
      <c r="E29" t="s">
        <v>402</v>
      </c>
      <c r="F29" t="s">
        <v>403</v>
      </c>
      <c r="G29" t="s">
        <v>401</v>
      </c>
    </row>
    <row r="30" spans="1:7" x14ac:dyDescent="0.35">
      <c r="A30" t="s">
        <v>436</v>
      </c>
      <c r="B30" t="s">
        <v>403</v>
      </c>
      <c r="C30" t="s">
        <v>403</v>
      </c>
      <c r="D30" t="s">
        <v>403</v>
      </c>
      <c r="E30" t="s">
        <v>402</v>
      </c>
      <c r="F30" t="s">
        <v>403</v>
      </c>
      <c r="G30" t="s">
        <v>401</v>
      </c>
    </row>
    <row r="31" spans="1:7" x14ac:dyDescent="0.35">
      <c r="A31" t="s">
        <v>437</v>
      </c>
      <c r="B31" t="s">
        <v>406</v>
      </c>
      <c r="C31" t="s">
        <v>403</v>
      </c>
      <c r="D31" t="s">
        <v>402</v>
      </c>
      <c r="E31" t="s">
        <v>401</v>
      </c>
      <c r="F31" t="s">
        <v>403</v>
      </c>
      <c r="G31" t="s">
        <v>402</v>
      </c>
    </row>
    <row r="32" spans="1:7" x14ac:dyDescent="0.35">
      <c r="A32" t="s">
        <v>438</v>
      </c>
      <c r="B32" t="s">
        <v>406</v>
      </c>
      <c r="C32" t="s">
        <v>403</v>
      </c>
      <c r="D32" t="s">
        <v>401</v>
      </c>
      <c r="E32" t="s">
        <v>403</v>
      </c>
      <c r="F32" t="s">
        <v>401</v>
      </c>
      <c r="G32" t="s">
        <v>401</v>
      </c>
    </row>
    <row r="33" spans="1:7" x14ac:dyDescent="0.35">
      <c r="A33" t="s">
        <v>439</v>
      </c>
      <c r="B33" t="s">
        <v>401</v>
      </c>
      <c r="C33" t="s">
        <v>401</v>
      </c>
      <c r="D33" t="s">
        <v>401</v>
      </c>
      <c r="E33" t="s">
        <v>403</v>
      </c>
      <c r="F33" t="s">
        <v>401</v>
      </c>
      <c r="G33" t="s">
        <v>401</v>
      </c>
    </row>
    <row r="34" spans="1:7" x14ac:dyDescent="0.35">
      <c r="A34" t="s">
        <v>440</v>
      </c>
      <c r="B34" t="s">
        <v>406</v>
      </c>
      <c r="C34" t="s">
        <v>403</v>
      </c>
      <c r="D34" t="s">
        <v>402</v>
      </c>
      <c r="E34" t="s">
        <v>401</v>
      </c>
      <c r="F34" t="s">
        <v>403</v>
      </c>
      <c r="G34" t="s">
        <v>402</v>
      </c>
    </row>
    <row r="35" spans="1:7" x14ac:dyDescent="0.35">
      <c r="A35" t="s">
        <v>441</v>
      </c>
      <c r="B35" t="s">
        <v>406</v>
      </c>
      <c r="C35" t="s">
        <v>403</v>
      </c>
      <c r="D35" t="s">
        <v>401</v>
      </c>
      <c r="E35" t="s">
        <v>403</v>
      </c>
      <c r="F35" t="s">
        <v>401</v>
      </c>
      <c r="G35" t="s">
        <v>401</v>
      </c>
    </row>
    <row r="36" spans="1:7" x14ac:dyDescent="0.35">
      <c r="A36" t="s">
        <v>442</v>
      </c>
      <c r="B36" t="s">
        <v>401</v>
      </c>
      <c r="C36" t="s">
        <v>406</v>
      </c>
      <c r="D36" t="s">
        <v>402</v>
      </c>
      <c r="E36" t="s">
        <v>403</v>
      </c>
      <c r="F36" t="s">
        <v>401</v>
      </c>
      <c r="G36" t="s">
        <v>402</v>
      </c>
    </row>
    <row r="37" spans="1:7" x14ac:dyDescent="0.35">
      <c r="A37" t="s">
        <v>443</v>
      </c>
      <c r="B37" t="s">
        <v>403</v>
      </c>
      <c r="C37" t="s">
        <v>403</v>
      </c>
      <c r="D37" t="s">
        <v>403</v>
      </c>
      <c r="E37" t="s">
        <v>402</v>
      </c>
      <c r="F37" t="s">
        <v>403</v>
      </c>
      <c r="G37" t="s">
        <v>401</v>
      </c>
    </row>
    <row r="38" spans="1:7" x14ac:dyDescent="0.35">
      <c r="A38" t="s">
        <v>444</v>
      </c>
      <c r="B38" t="s">
        <v>406</v>
      </c>
      <c r="C38" t="s">
        <v>403</v>
      </c>
      <c r="D38" t="s">
        <v>401</v>
      </c>
      <c r="E38" t="s">
        <v>402</v>
      </c>
      <c r="F38" t="s">
        <v>403</v>
      </c>
      <c r="G38" t="s">
        <v>401</v>
      </c>
    </row>
    <row r="39" spans="1:7" x14ac:dyDescent="0.35">
      <c r="A39" t="s">
        <v>445</v>
      </c>
      <c r="B39" t="s">
        <v>401</v>
      </c>
      <c r="C39" t="s">
        <v>406</v>
      </c>
      <c r="D39" t="s">
        <v>403</v>
      </c>
      <c r="E39" t="s">
        <v>401</v>
      </c>
      <c r="F39" t="s">
        <v>403</v>
      </c>
      <c r="G39" t="s">
        <v>402</v>
      </c>
    </row>
    <row r="40" spans="1:7" x14ac:dyDescent="0.35">
      <c r="A40" t="s">
        <v>446</v>
      </c>
      <c r="B40" t="s">
        <v>403</v>
      </c>
      <c r="C40" t="s">
        <v>403</v>
      </c>
      <c r="D40" t="s">
        <v>402</v>
      </c>
      <c r="E40" t="s">
        <v>402</v>
      </c>
      <c r="F40" t="s">
        <v>402</v>
      </c>
      <c r="G40" t="s">
        <v>403</v>
      </c>
    </row>
    <row r="41" spans="1:7" x14ac:dyDescent="0.35">
      <c r="A41" t="s">
        <v>447</v>
      </c>
      <c r="B41" t="s">
        <v>406</v>
      </c>
      <c r="C41" t="s">
        <v>403</v>
      </c>
      <c r="D41" t="s">
        <v>401</v>
      </c>
      <c r="E41" t="s">
        <v>403</v>
      </c>
      <c r="F41" t="s">
        <v>401</v>
      </c>
      <c r="G41" t="s">
        <v>401</v>
      </c>
    </row>
    <row r="42" spans="1:7" x14ac:dyDescent="0.35">
      <c r="A42" t="s">
        <v>448</v>
      </c>
      <c r="B42" t="s">
        <v>406</v>
      </c>
      <c r="C42" t="s">
        <v>403</v>
      </c>
      <c r="D42" t="s">
        <v>401</v>
      </c>
      <c r="E42" t="s">
        <v>403</v>
      </c>
      <c r="F42" t="s">
        <v>401</v>
      </c>
      <c r="G42" t="s">
        <v>401</v>
      </c>
    </row>
    <row r="43" spans="1:7" x14ac:dyDescent="0.35">
      <c r="A43" t="s">
        <v>449</v>
      </c>
      <c r="B43" t="s">
        <v>401</v>
      </c>
      <c r="C43" t="s">
        <v>401</v>
      </c>
      <c r="D43" t="s">
        <v>402</v>
      </c>
      <c r="E43" t="s">
        <v>403</v>
      </c>
      <c r="F43" t="s">
        <v>401</v>
      </c>
      <c r="G43" t="s">
        <v>402</v>
      </c>
    </row>
    <row r="44" spans="1:7" x14ac:dyDescent="0.35">
      <c r="A44" t="s">
        <v>450</v>
      </c>
      <c r="B44" t="s">
        <v>403</v>
      </c>
      <c r="C44" t="s">
        <v>403</v>
      </c>
      <c r="D44" t="s">
        <v>403</v>
      </c>
      <c r="E44" t="s">
        <v>402</v>
      </c>
      <c r="F44" t="s">
        <v>403</v>
      </c>
      <c r="G44" t="s">
        <v>401</v>
      </c>
    </row>
    <row r="45" spans="1:7" x14ac:dyDescent="0.35">
      <c r="A45" t="s">
        <v>451</v>
      </c>
      <c r="B45" t="s">
        <v>406</v>
      </c>
      <c r="C45" t="s">
        <v>406</v>
      </c>
      <c r="D45" t="s">
        <v>402</v>
      </c>
      <c r="E45" t="s">
        <v>403</v>
      </c>
      <c r="F45" t="s">
        <v>403</v>
      </c>
      <c r="G45" t="s">
        <v>402</v>
      </c>
    </row>
    <row r="46" spans="1:7" x14ac:dyDescent="0.35">
      <c r="A46" t="s">
        <v>452</v>
      </c>
      <c r="B46" t="s">
        <v>401</v>
      </c>
      <c r="C46" t="s">
        <v>401</v>
      </c>
      <c r="D46" t="s">
        <v>403</v>
      </c>
      <c r="E46" t="s">
        <v>401</v>
      </c>
      <c r="F46" t="s">
        <v>401</v>
      </c>
      <c r="G46" t="s">
        <v>402</v>
      </c>
    </row>
    <row r="47" spans="1:7" x14ac:dyDescent="0.35">
      <c r="A47" t="s">
        <v>453</v>
      </c>
      <c r="B47" t="s">
        <v>406</v>
      </c>
      <c r="C47" t="s">
        <v>403</v>
      </c>
      <c r="D47" t="s">
        <v>402</v>
      </c>
      <c r="E47" t="s">
        <v>401</v>
      </c>
      <c r="F47" t="s">
        <v>403</v>
      </c>
      <c r="G47" t="s">
        <v>402</v>
      </c>
    </row>
    <row r="48" spans="1:7" x14ac:dyDescent="0.35">
      <c r="A48" t="s">
        <v>454</v>
      </c>
      <c r="B48" t="s">
        <v>406</v>
      </c>
      <c r="C48" t="s">
        <v>403</v>
      </c>
      <c r="D48" t="s">
        <v>401</v>
      </c>
      <c r="E48" t="s">
        <v>403</v>
      </c>
      <c r="F48" t="s">
        <v>403</v>
      </c>
      <c r="G48" t="s">
        <v>401</v>
      </c>
    </row>
    <row r="49" spans="1:7" x14ac:dyDescent="0.35">
      <c r="A49" t="s">
        <v>455</v>
      </c>
      <c r="B49" t="s">
        <v>401</v>
      </c>
      <c r="C49" t="s">
        <v>406</v>
      </c>
      <c r="D49" t="s">
        <v>402</v>
      </c>
      <c r="E49" t="s">
        <v>403</v>
      </c>
      <c r="F49" t="s">
        <v>401</v>
      </c>
      <c r="G49" t="s">
        <v>402</v>
      </c>
    </row>
    <row r="50" spans="1:7" x14ac:dyDescent="0.35">
      <c r="A50" t="s">
        <v>456</v>
      </c>
      <c r="B50" t="s">
        <v>403</v>
      </c>
      <c r="C50" t="s">
        <v>403</v>
      </c>
      <c r="D50" t="s">
        <v>402</v>
      </c>
      <c r="E50" t="s">
        <v>402</v>
      </c>
      <c r="F50" t="s">
        <v>402</v>
      </c>
      <c r="G50" t="s">
        <v>403</v>
      </c>
    </row>
    <row r="51" spans="1:7" x14ac:dyDescent="0.35">
      <c r="A51" t="s">
        <v>457</v>
      </c>
      <c r="B51" t="s">
        <v>406</v>
      </c>
      <c r="C51" t="s">
        <v>403</v>
      </c>
      <c r="D51" t="s">
        <v>401</v>
      </c>
      <c r="E51" t="s">
        <v>403</v>
      </c>
      <c r="F51" t="s">
        <v>403</v>
      </c>
      <c r="G51" t="s">
        <v>401</v>
      </c>
    </row>
    <row r="52" spans="1:7" x14ac:dyDescent="0.35">
      <c r="A52" t="s">
        <v>458</v>
      </c>
      <c r="B52" t="s">
        <v>406</v>
      </c>
      <c r="C52" t="s">
        <v>403</v>
      </c>
      <c r="D52" t="s">
        <v>401</v>
      </c>
      <c r="E52" t="s">
        <v>402</v>
      </c>
      <c r="F52" t="s">
        <v>403</v>
      </c>
      <c r="G52" t="s">
        <v>401</v>
      </c>
    </row>
    <row r="53" spans="1:7" x14ac:dyDescent="0.35">
      <c r="A53" t="s">
        <v>459</v>
      </c>
      <c r="B53" t="s">
        <v>403</v>
      </c>
      <c r="C53" t="s">
        <v>403</v>
      </c>
      <c r="D53" t="s">
        <v>403</v>
      </c>
      <c r="E53" t="s">
        <v>402</v>
      </c>
      <c r="F53" t="s">
        <v>403</v>
      </c>
      <c r="G53" t="s">
        <v>401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 xmlns="80727368-2d85-4693-8aca-8c33fb2339f5" xsi:nil="true"/>
    <Date_x002f_Time xmlns="b031f331-093e-4af9-b9a8-5fb9941cd8bc" xsi:nil="true"/>
    <lcf76f155ced4ddcb4097134ff3c332f xmlns="b031f331-093e-4af9-b9a8-5fb9941cd8bc">
      <Terms xmlns="http://schemas.microsoft.com/office/infopath/2007/PartnerControls"/>
    </lcf76f155ced4ddcb4097134ff3c332f>
    <TaxCatchAll xmlns="61ea441e-408f-4c04-8adb-e628fdc370c0"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84099C5946FA6344AFBC08FDA28BB5E3000F2A5536EED47B428001DEFDF00DB8CF" ma:contentTypeVersion="28" ma:contentTypeDescription="" ma:contentTypeScope="" ma:versionID="21ca6ab74f8644cb864e5c2f20cac000">
  <xsd:schema xmlns:xsd="http://www.w3.org/2001/XMLSchema" xmlns:xs="http://www.w3.org/2001/XMLSchema" xmlns:p="http://schemas.microsoft.com/office/2006/metadata/properties" xmlns:ns2="80727368-2d85-4693-8aca-8c33fb2339f5" xmlns:ns3="http://schemas.microsoft.com/sharepoint/v4" xmlns:ns4="b031f331-093e-4af9-b9a8-5fb9941cd8bc" xmlns:ns5="61ea441e-408f-4c04-8adb-e628fdc370c0" targetNamespace="http://schemas.microsoft.com/office/2006/metadata/properties" ma:root="true" ma:fieldsID="2d4dcb4fb567584823cddbef29412b8b" ns2:_="" ns3:_="" ns4:_="" ns5:_="">
    <xsd:import namespace="80727368-2d85-4693-8aca-8c33fb2339f5"/>
    <xsd:import namespace="http://schemas.microsoft.com/sharepoint/v4"/>
    <xsd:import namespace="b031f331-093e-4af9-b9a8-5fb9941cd8bc"/>
    <xsd:import namespace="61ea441e-408f-4c04-8adb-e628fdc370c0"/>
    <xsd:element name="properties">
      <xsd:complexType>
        <xsd:sequence>
          <xsd:element name="documentManagement">
            <xsd:complexType>
              <xsd:all>
                <xsd:element ref="ns2:Project" minOccurs="0"/>
                <xsd:element ref="ns2:Project_x003a_Description" minOccurs="0"/>
                <xsd:element ref="ns2:SharedWithUsers" minOccurs="0"/>
                <xsd:element ref="ns3:IconOverlay" minOccurs="0"/>
                <xsd:element ref="ns2: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5:TaxCatchAll" minOccurs="0"/>
                <xsd:element ref="ns4:lcf76f155ced4ddcb4097134ff3c332f" minOccurs="0"/>
                <xsd:element ref="ns4:Date_x002f_Tim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27368-2d85-4693-8aca-8c33fb2339f5" elementFormDefault="qualified">
    <xsd:import namespace="http://schemas.microsoft.com/office/2006/documentManagement/types"/>
    <xsd:import namespace="http://schemas.microsoft.com/office/infopath/2007/PartnerControls"/>
    <xsd:element name="Project" ma:index="8" nillable="true" ma:displayName="Project" ma:list="{466bfe19-0901-498c-8ba9-2a12267cbd25}" ma:internalName="Project" ma:readOnly="false" ma:showField="Title" ma:web="80727368-2d85-4693-8aca-8c33fb2339f5">
      <xsd:simpleType>
        <xsd:restriction base="dms:Lookup"/>
      </xsd:simpleType>
    </xsd:element>
    <xsd:element name="Project_x003a_Description" ma:index="9" nillable="true" ma:displayName="Project:Description" ma:list="{466bfe19-0901-498c-8ba9-2a12267cbd25}" ma:internalName="Project_x003A_Description" ma:readOnly="true" ma:showField="CategoryDescription" ma:web="80727368-2d85-4693-8aca-8c33fb2339f5">
      <xsd:simpleType>
        <xsd:restriction base="dms:Lookup"/>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1f331-093e-4af9-b9a8-5fb9941cd8b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148156e-35dd-42ed-ae17-2fd98e2f2e05" ma:termSetId="09814cd3-568e-fe90-9814-8d621ff8fb84" ma:anchorId="fba54fb3-c3e1-fe81-a776-ca4b69148c4d" ma:open="true" ma:isKeyword="false">
      <xsd:complexType>
        <xsd:sequence>
          <xsd:element ref="pc:Terms" minOccurs="0" maxOccurs="1"/>
        </xsd:sequence>
      </xsd:complexType>
    </xsd:element>
    <xsd:element name="Date_x002f_Time" ma:index="30" nillable="true" ma:displayName="Date/Time" ma:format="DateOnly" ma:internalName="Date_x002f_Time">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a441e-408f-4c04-8adb-e628fdc370c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d2fab4e7-a8b7-4971-b346-34430c230743}" ma:internalName="TaxCatchAll" ma:showField="CatchAllData" ma:web="61ea441e-408f-4c04-8adb-e628fdc37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F14-F405-4B9A-B08B-357E716848DE}">
  <ds:schemaRefs>
    <ds:schemaRef ds:uri="http://schemas.microsoft.com/office/2006/metadata/properties"/>
    <ds:schemaRef ds:uri="http://schemas.microsoft.com/office/infopath/2007/PartnerControls"/>
    <ds:schemaRef ds:uri="80727368-2d85-4693-8aca-8c33fb2339f5"/>
    <ds:schemaRef ds:uri="b031f331-093e-4af9-b9a8-5fb9941cd8bc"/>
    <ds:schemaRef ds:uri="61ea441e-408f-4c04-8adb-e628fdc370c0"/>
    <ds:schemaRef ds:uri="http://schemas.microsoft.com/sharepoint/v4"/>
  </ds:schemaRefs>
</ds:datastoreItem>
</file>

<file path=customXml/itemProps2.xml><?xml version="1.0" encoding="utf-8"?>
<ds:datastoreItem xmlns:ds="http://schemas.openxmlformats.org/officeDocument/2006/customXml" ds:itemID="{51E74D4C-94C5-4AD6-8C21-681EC3C22CD6}">
  <ds:schemaRefs>
    <ds:schemaRef ds:uri="http://schemas.microsoft.com/sharepoint/v3/contenttype/forms"/>
  </ds:schemaRefs>
</ds:datastoreItem>
</file>

<file path=customXml/itemProps3.xml><?xml version="1.0" encoding="utf-8"?>
<ds:datastoreItem xmlns:ds="http://schemas.openxmlformats.org/officeDocument/2006/customXml" ds:itemID="{9F733DF5-C7BD-403B-9478-EE979CCEB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27368-2d85-4693-8aca-8c33fb2339f5"/>
    <ds:schemaRef ds:uri="http://schemas.microsoft.com/sharepoint/v4"/>
    <ds:schemaRef ds:uri="b031f331-093e-4af9-b9a8-5fb9941cd8bc"/>
    <ds:schemaRef ds:uri="61ea441e-408f-4c04-8adb-e628fdc37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1. Read Me</vt:lpstr>
      <vt:lpstr>2. Enter State and Local Info</vt:lpstr>
      <vt:lpstr>3. Answer Assessment Questions</vt:lpstr>
      <vt:lpstr>4. Get Recommendations</vt:lpstr>
      <vt:lpstr>Score_Lookups</vt:lpstr>
      <vt:lpstr>Recommendations Lookup</vt:lpstr>
      <vt:lpstr>Filter Recommendations</vt:lpstr>
      <vt:lpstr>state_vulnerability_scores</vt:lpstr>
      <vt:lpstr>Drought_Impact</vt:lpstr>
      <vt:lpstr>Impact_Select</vt:lpstr>
      <vt:lpstr>Precip_Impact</vt:lpstr>
      <vt:lpstr>Rec_Category</vt:lpstr>
      <vt:lpstr>Recommendation_Count</vt:lpstr>
      <vt:lpstr>Recs_1</vt:lpstr>
      <vt:lpstr>Recs_2</vt:lpstr>
      <vt:lpstr>Recs_3</vt:lpstr>
      <vt:lpstr>Recs_4</vt:lpstr>
      <vt:lpstr>Recs_5</vt:lpstr>
      <vt:lpstr>Recs_6</vt:lpstr>
      <vt:lpstr>Sea_Level_Impact</vt:lpstr>
      <vt:lpstr>Section1</vt:lpstr>
      <vt:lpstr>Section2</vt:lpstr>
      <vt:lpstr>Section3</vt:lpstr>
      <vt:lpstr>Section4</vt:lpstr>
      <vt:lpstr>Section5</vt:lpstr>
      <vt:lpstr>Section6</vt:lpstr>
      <vt:lpstr>'Recommendations Lookup'!state_dropdown</vt:lpstr>
      <vt:lpstr>state_dropdown</vt:lpstr>
      <vt:lpstr>Temp_Impact</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CWP Employee</dc:creator>
  <cp:keywords/>
  <dc:description/>
  <cp:lastModifiedBy>Karen Cappiella</cp:lastModifiedBy>
  <cp:revision/>
  <dcterms:created xsi:type="dcterms:W3CDTF">2024-06-27T17:30:34Z</dcterms:created>
  <dcterms:modified xsi:type="dcterms:W3CDTF">2024-09-26T18:37:29Z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0x01010084099C5946FA6344AFBC08FDA28BB5E3000F2A5536EED47B428001DEFDF00DB8CF</vt:lpwstr>
  </property>
</Properties>
</file>